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te/6ThpuJHuxXwC+QWIq+uytQfi29CO2vJoAIR5PduyMFRlpxNR6SIz1Ans8z6Ur18JdUJ5RRKTEWsgxPJuBw==" workbookSaltValue="bqUTKpv3D6oyVzISY7wV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F17" i="13"/>
  <c r="AE20" i="8" l="1"/>
  <c r="B19" i="2"/>
  <c r="R20" i="8"/>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K18" i="12" s="1"/>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G20" i="7"/>
  <c r="I10" i="12"/>
  <c r="J9" i="12"/>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<sst xmlns="http://schemas.openxmlformats.org/spreadsheetml/2006/main" count="2527" uniqueCount="1026">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</sst>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JHjn2GqFY7Ny/zNrOOy5I4budR++LaTy8/MJ41UgDyA87ZB7azUklJBi87iPkGpVqZo3COUxo/I1JGh+4PDhg==" saltValue="MLERnI/BiamnNRwKHr8+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18.370084811102544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97</v>
      </c>
      <c r="D10" s="224">
        <f>IF(ISNUMBER(Datos!I10),Datos!I10," - ")</f>
        <v>97</v>
      </c>
      <c r="E10" s="225">
        <f>IF(ISNUMBER(Datos!J10),Datos!J10," - ")</f>
        <v>18</v>
      </c>
      <c r="F10" s="225">
        <f>IF(ISNUMBER(Datos!K10),Datos!K10," - ")</f>
        <v>18</v>
      </c>
      <c r="G10" s="1029" t="str">
        <f>IF(Datos!E10&lt;&gt;"",Datos!E10,Datos!D10)</f>
        <v>37</v>
      </c>
      <c r="H10" s="226">
        <f>IF(ISNUMBER(Datos!L10),Datos!L10," - ")</f>
        <v>97</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59.277777777777786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97</v>
      </c>
      <c r="D13" s="1044">
        <f>SUBTOTAL(9,D9:D12)</f>
        <v>97</v>
      </c>
      <c r="E13" s="1045">
        <f>SUBTOTAL(9,E9:E12)</f>
        <v>18</v>
      </c>
      <c r="F13" s="1046">
        <f>SUBTOTAL(9,F9:F12)</f>
        <v>18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2784</v>
      </c>
      <c r="D15" s="224">
        <f>IF(ISNUMBER(IF(D_I="SI",Datos!I15,Datos!I15+Datos!AC15)),IF(D_I="SI",Datos!I15,Datos!I15+Datos!AC15)," - ")</f>
        <v>2650</v>
      </c>
      <c r="E15" s="225">
        <f>IF(ISNUMBER(IF(D_I="SI",Datos!J15,Datos!J15+Datos!AD15)),IF(D_I="SI",Datos!J15,Datos!J15+Datos!AD15)," - ")</f>
        <v>2095</v>
      </c>
      <c r="F15" s="225">
        <f>IF(ISNUMBER(IF(D_I="SI",Datos!K15,Datos!K15+Datos!AE15)),IF(D_I="SI",Datos!K15,Datos!K15+Datos!AE15)," - ")</f>
        <v>2203</v>
      </c>
      <c r="G15" s="1029" t="str">
        <f>IF(Datos!E15&lt;&gt;"",Datos!E15,Datos!D15)</f>
        <v>03</v>
      </c>
      <c r="H15" s="226">
        <f>IF(ISNUMBER(IF(D_I="SI",Datos!L15,Datos!L15+Datos!AF15)),IF(D_I="SI",Datos!L15,Datos!L15+Datos!AF15)," - ")</f>
        <v>2676</v>
      </c>
      <c r="I15" s="1039" t="str">
        <f>IF(ISNUMBER(Datos!AS15/Datos!BM15),Datos!AS15/Datos!BM15," - ")</f>
        <v xml:space="preserve"> - </v>
      </c>
      <c r="J15" s="1040">
        <f>IF(ISNUMBER(Datos!BY15/Datos!CN15),Datos!BY15/Datos!CN15," - ")</f>
        <v>0</v>
      </c>
      <c r="K15" s="229">
        <f t="shared" ref="K15:K18" si="3">IF(ISNUMBER((E15-F15)/C15),(E15-F15)/C15," - ")</f>
        <v>-3.8793103448275863E-2</v>
      </c>
      <c r="L15" s="1020">
        <f>IF(ISNUMBER(NºAsuntos!I15/NºAsuntos!G15),(NºAsuntos!I15/NºAsuntos!G15)*11," - ")</f>
        <v>13.361779391738539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90</v>
      </c>
      <c r="D18" s="224">
        <f>IF(ISNUMBER(IF(D_I="SI",Datos!I18,Datos!I18+Datos!AC18)),IF(D_I="SI",Datos!I18,Datos!I18+Datos!AC18)," - ")</f>
        <v>82</v>
      </c>
      <c r="E18" s="225">
        <f>IF(ISNUMBER(IF(D_I="SI",Datos!J18,Datos!J18+Datos!AD18)),IF(D_I="SI",Datos!J18,Datos!J18+Datos!AD18)," - ")</f>
        <v>276</v>
      </c>
      <c r="F18" s="225">
        <f>IF(ISNUMBER(IF(D_I="SI",Datos!K18,Datos!K18+Datos!AE18)),IF(D_I="SI",Datos!K18,Datos!K18+Datos!AE18)," - ")</f>
        <v>236</v>
      </c>
      <c r="G18" s="1029" t="str">
        <f>IF(Datos!E18&lt;&gt;"",Datos!E18,Datos!D18)</f>
        <v>37</v>
      </c>
      <c r="H18" s="226">
        <f>IF(ISNUMBER(IF(D_I="SI",Datos!L18,Datos!L18+Datos!AF18)),IF(D_I="SI",Datos!L18,Datos!L18+Datos!AF18)," - ")</f>
        <v>130</v>
      </c>
      <c r="I18" s="1039" t="str">
        <f>IF(ISNUMBER(Datos!AS18/Datos!BM18),Datos!AS18/Datos!BM18," - ")</f>
        <v xml:space="preserve"> - </v>
      </c>
      <c r="J18" s="1040" t="str">
        <f>IF(ISNUMBER((Datos!BY18+Datos!BZ18)/Datos!CN18),(Datos!BY18+Datos!BZ18)/Datos!CN18," - ")</f>
        <v xml:space="preserve"> - </v>
      </c>
      <c r="K18" s="229">
        <f t="shared" si="3"/>
        <v>0.44444444444444442</v>
      </c>
      <c r="L18" s="1020">
        <f>IF(ISNUMBER(NºAsuntos!I18/NºAsuntos!G18),(NºAsuntos!I18/NºAsuntos!G18)*11," - ")</f>
        <v>6.0593220338983045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2874</v>
      </c>
      <c r="D19" s="1044">
        <f>SUBTOTAL(9,D15:D18)</f>
        <v>2732</v>
      </c>
      <c r="E19" s="1045">
        <f>SUBTOTAL(9,E15:E18)</f>
        <v>2371</v>
      </c>
      <c r="F19" s="1045">
        <f>SUBTOTAL(9,F15:F18)</f>
        <v>2439</v>
      </c>
      <c r="G19" s="1047" t="str">
        <f ca="1">INDIRECT(CONCATENATE("G",ROW()-1))</f>
        <v>37</v>
      </c>
      <c r="H19" s="1048">
        <f ca="1">SUMIF(G$14:G18,G19,H$14:H18)</f>
        <v>130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2971</v>
      </c>
      <c r="D20" s="1066">
        <f>SUBTOTAL(9,D9:D19)</f>
        <v>2829</v>
      </c>
      <c r="E20" s="1067">
        <f>SUBTOTAL(9,E9:E19)</f>
        <v>2389</v>
      </c>
      <c r="F20" s="1067">
        <f>SUBTOTAL(9,F9:F19)</f>
        <v>2457</v>
      </c>
      <c r="G20" s="1068"/>
      <c r="H20" s="1069">
        <f ca="1">SUMIF(B9:B19,"TOTAL",H9:H19)</f>
        <v>130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rWRfqt8xmg0Yo24LdN7CTtNBg8E01zGGFugPGFOgeaz+r32L4/CTfgecZkkXXKdGRNQbvBcjqZK898FG3peTQ==" saltValue="IcG+ucWL4E4loxspxKD5G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A8hgRE5fdjMHqDLdvnFufH2NnJcbqZlXNIMq+KQ2C3dp6Keeev81Kc/CDIIgjW4Fle835kjgjtmipenBC6Ojg==" saltValue="+JHStM9ZJQub+Ja8WMsE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4287</v>
      </c>
      <c r="J9" s="180">
        <v>2075</v>
      </c>
      <c r="K9" s="180">
        <v>2356</v>
      </c>
      <c r="L9" s="180">
        <v>4083</v>
      </c>
      <c r="M9" s="180">
        <v>663</v>
      </c>
      <c r="N9" s="180">
        <v>1126</v>
      </c>
      <c r="O9" s="180">
        <v>1276</v>
      </c>
      <c r="P9" s="180">
        <v>621</v>
      </c>
      <c r="Q9" s="180">
        <v>733</v>
      </c>
      <c r="R9" s="180">
        <v>7811</v>
      </c>
      <c r="S9" s="180">
        <v>5194</v>
      </c>
      <c r="T9" s="180">
        <v>3760</v>
      </c>
      <c r="U9" s="180">
        <v>2884</v>
      </c>
      <c r="V9" s="180">
        <v>6070</v>
      </c>
      <c r="W9" s="180">
        <v>581</v>
      </c>
      <c r="X9" s="187">
        <v>1223</v>
      </c>
      <c r="Y9" s="190">
        <v>271</v>
      </c>
      <c r="Z9" s="180">
        <v>204</v>
      </c>
      <c r="AA9" s="180">
        <v>238</v>
      </c>
      <c r="AB9" s="180">
        <v>249</v>
      </c>
      <c r="AC9" s="180">
        <v>0</v>
      </c>
      <c r="AD9" s="180">
        <v>0</v>
      </c>
      <c r="AE9" s="180">
        <v>0</v>
      </c>
      <c r="AF9" s="187">
        <v>0</v>
      </c>
      <c r="AG9" s="190">
        <v>198</v>
      </c>
      <c r="AH9" s="180">
        <v>138</v>
      </c>
      <c r="AI9" s="180">
        <v>175</v>
      </c>
      <c r="AJ9" s="191">
        <v>161</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5392</v>
      </c>
      <c r="AZ9" s="123">
        <f>IF(ISNUMBER(IF(J_V="SI",T9,T9+AH9)),IF(J_V="SI",T9,T9+AH9)," - ")</f>
        <v>3898</v>
      </c>
      <c r="BA9" s="124">
        <f>IF(ISNUMBER(IF(J_V="SI",U9,U9+AI9)),IF(J_V="SI",U9,U9+AI9)," - ")</f>
        <v>3059</v>
      </c>
      <c r="BB9" s="124">
        <f>IF(ISNUMBER(IF(J_V="SI",V9,V9+AJ9)),IF(J_V="SI",V9,V9+AJ9)," - ")</f>
        <v>6231</v>
      </c>
      <c r="BC9" s="125">
        <f>IF(ISNUMBER(X9),X9," - ")</f>
        <v>1223</v>
      </c>
      <c r="BD9" s="126">
        <f>IF(ISNUMBER(BA9/AZ9),BA9/AZ9," - ")</f>
        <v>0.78476141611082606</v>
      </c>
      <c r="BE9" s="127">
        <f>IF(ISNUMBER(BB9/BA9),BB9/BA9, " - ")</f>
        <v>2.0369401765282773</v>
      </c>
      <c r="BF9" s="127">
        <f>IF(ISNUMBER(BC9/BA9),BC9/BA9, " - ")</f>
        <v>0.39980385746976138</v>
      </c>
      <c r="BG9" s="195">
        <f>IF(ISNUMBER((AY9+AZ9)/BA9),(AY9+AZ9)/BA9," - ")</f>
        <v>3.0369401765282773</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97</v>
      </c>
      <c r="J10" s="180">
        <v>18</v>
      </c>
      <c r="K10" s="180">
        <v>18</v>
      </c>
      <c r="L10" s="180">
        <v>97</v>
      </c>
      <c r="M10" s="180">
        <v>12</v>
      </c>
      <c r="N10" s="180">
        <v>4</v>
      </c>
      <c r="O10" s="180">
        <v>1</v>
      </c>
      <c r="P10" s="180">
        <v>1</v>
      </c>
      <c r="Q10" s="180">
        <v>0</v>
      </c>
      <c r="R10" s="180">
        <v>81</v>
      </c>
      <c r="S10" s="180">
        <v>77</v>
      </c>
      <c r="T10" s="180">
        <v>40</v>
      </c>
      <c r="U10" s="180">
        <v>28</v>
      </c>
      <c r="V10" s="180">
        <v>89</v>
      </c>
      <c r="W10" s="180">
        <v>16</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77</v>
      </c>
      <c r="AZ10" s="129">
        <f t="shared" si="0"/>
        <v>40</v>
      </c>
      <c r="BA10" s="129">
        <f t="shared" si="0"/>
        <v>28</v>
      </c>
      <c r="BB10" s="129">
        <f t="shared" si="0"/>
        <v>89</v>
      </c>
      <c r="BC10" s="125">
        <f t="shared" si="0"/>
        <v>16</v>
      </c>
      <c r="BD10" s="126">
        <f>IF(ISNUMBER(BA10/AZ10),BA10/AZ10," - ")</f>
        <v>0.7</v>
      </c>
      <c r="BE10" s="127">
        <f>IF(ISNUMBER(BB10/BA10),BB10/BA10, " - ")</f>
        <v>3.1785714285714284</v>
      </c>
      <c r="BF10" s="127">
        <f>IF(ISNUMBER(BC10/BA10),BC10/BA10, " - ")</f>
        <v>0.5714285714285714</v>
      </c>
      <c r="BG10" s="195">
        <f>IF(ISNUMBER((AY10+AZ10)/BA10),(AY10+AZ10)/BA10," - ")</f>
        <v>4.1785714285714288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4384</v>
      </c>
      <c r="J13" s="183">
        <f t="shared" si="6"/>
        <v>2093</v>
      </c>
      <c r="K13" s="183">
        <f t="shared" si="6"/>
        <v>2374</v>
      </c>
      <c r="L13" s="183">
        <f t="shared" si="6"/>
        <v>4180</v>
      </c>
      <c r="M13" s="183">
        <f t="shared" si="6"/>
        <v>675</v>
      </c>
      <c r="N13" s="183">
        <f t="shared" si="6"/>
        <v>1130</v>
      </c>
      <c r="O13" s="183">
        <f t="shared" si="6"/>
        <v>1277</v>
      </c>
      <c r="P13" s="183">
        <f t="shared" si="6"/>
        <v>622</v>
      </c>
      <c r="Q13" s="183">
        <f t="shared" si="6"/>
        <v>733</v>
      </c>
      <c r="R13" s="183">
        <f t="shared" si="6"/>
        <v>7892</v>
      </c>
      <c r="S13" s="183">
        <f t="shared" si="6"/>
        <v>5271</v>
      </c>
      <c r="T13" s="183">
        <f t="shared" si="6"/>
        <v>3800</v>
      </c>
      <c r="U13" s="183">
        <f t="shared" si="6"/>
        <v>2912</v>
      </c>
      <c r="V13" s="183">
        <f t="shared" si="6"/>
        <v>6159</v>
      </c>
      <c r="W13" s="183">
        <f t="shared" si="6"/>
        <v>597</v>
      </c>
      <c r="X13" s="183">
        <f t="shared" si="6"/>
        <v>1232</v>
      </c>
      <c r="Y13" s="183">
        <f t="shared" si="6"/>
        <v>271</v>
      </c>
      <c r="Z13" s="183">
        <f t="shared" si="6"/>
        <v>204</v>
      </c>
      <c r="AA13" s="183">
        <f t="shared" si="6"/>
        <v>238</v>
      </c>
      <c r="AB13" s="183">
        <f t="shared" si="6"/>
        <v>249</v>
      </c>
      <c r="AC13" s="183">
        <f t="shared" si="6"/>
        <v>0</v>
      </c>
      <c r="AD13" s="183">
        <f t="shared" si="6"/>
        <v>0</v>
      </c>
      <c r="AE13" s="183">
        <f t="shared" si="6"/>
        <v>0</v>
      </c>
      <c r="AF13" s="183">
        <f>SUBTOTAL(9,AF9:AF12)</f>
        <v>0</v>
      </c>
      <c r="AG13" s="183">
        <f t="shared" ref="AG13:AT13" si="7">SUBTOTAL(9,AG8:AG12)</f>
        <v>198</v>
      </c>
      <c r="AH13" s="183">
        <f t="shared" si="7"/>
        <v>138</v>
      </c>
      <c r="AI13" s="183">
        <f t="shared" si="7"/>
        <v>175</v>
      </c>
      <c r="AJ13" s="183">
        <f t="shared" si="7"/>
        <v>161</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5469</v>
      </c>
      <c r="AZ13" s="183">
        <f>SUBTOTAL(9,AZ8:AZ12)</f>
        <v>3938</v>
      </c>
      <c r="BA13" s="183">
        <f>SUBTOTAL(9,BA8:BA12)</f>
        <v>3087</v>
      </c>
      <c r="BB13" s="183">
        <f>SUBTOTAL(9,BB8:BB12)</f>
        <v>6320</v>
      </c>
      <c r="BC13" s="183">
        <f>SUBTOTAL(9,BC8:BC12)</f>
        <v>1239</v>
      </c>
      <c r="BD13" s="204">
        <f>IF(ISNUMBER(BA13/AZ13),BA13/AZ13," - ")</f>
        <v>0.78390045708481459</v>
      </c>
      <c r="BE13" s="205">
        <f>IF(ISNUMBER(BB13/BA13),BB13/BA13, " - ")</f>
        <v>2.0472951085195983</v>
      </c>
      <c r="BF13" s="205">
        <f>IF(ISNUMBER(BC13/BA13),BC13/BA13, " - ")</f>
        <v>0.40136054421768708</v>
      </c>
      <c r="BG13" s="206">
        <f>IF(ISNUMBER((AY13+AZ13)/BA13),(AY13+AZ13)/BA13," - ")</f>
        <v>3.0472951085195983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2650</v>
      </c>
      <c r="J15" s="182">
        <v>2095</v>
      </c>
      <c r="K15" s="182">
        <v>2203</v>
      </c>
      <c r="L15" s="182">
        <v>2676</v>
      </c>
      <c r="M15" s="182">
        <v>445</v>
      </c>
      <c r="N15" s="182">
        <v>1072</v>
      </c>
      <c r="O15" s="180">
        <v>72</v>
      </c>
      <c r="P15" s="182">
        <v>130</v>
      </c>
      <c r="Q15" s="182">
        <v>150</v>
      </c>
      <c r="R15" s="182">
        <v>361</v>
      </c>
      <c r="S15" s="182">
        <v>2246</v>
      </c>
      <c r="T15" s="182">
        <v>1890</v>
      </c>
      <c r="U15" s="182">
        <v>1977</v>
      </c>
      <c r="V15" s="182">
        <v>2201</v>
      </c>
      <c r="W15" s="182">
        <v>469</v>
      </c>
      <c r="X15" s="188">
        <v>943</v>
      </c>
      <c r="Y15" s="201">
        <v>0</v>
      </c>
      <c r="Z15" s="182">
        <v>0</v>
      </c>
      <c r="AA15" s="182">
        <v>0</v>
      </c>
      <c r="AB15" s="182">
        <v>0</v>
      </c>
      <c r="AC15" s="182">
        <v>5</v>
      </c>
      <c r="AD15" s="182">
        <v>60</v>
      </c>
      <c r="AE15" s="182">
        <v>63</v>
      </c>
      <c r="AF15" s="188">
        <v>2</v>
      </c>
      <c r="AG15" s="201">
        <v>0</v>
      </c>
      <c r="AH15" s="182">
        <v>0</v>
      </c>
      <c r="AI15" s="182">
        <v>0</v>
      </c>
      <c r="AJ15" s="202">
        <v>0</v>
      </c>
      <c r="AK15" s="181">
        <v>0</v>
      </c>
      <c r="AL15" s="182">
        <v>4</v>
      </c>
      <c r="AM15" s="182">
        <v>4</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2246</v>
      </c>
      <c r="AZ15" s="129">
        <f t="shared" si="9"/>
        <v>1890</v>
      </c>
      <c r="BA15" s="129">
        <f t="shared" si="9"/>
        <v>1977</v>
      </c>
      <c r="BB15" s="129">
        <f t="shared" si="9"/>
        <v>2201</v>
      </c>
      <c r="BC15" s="125">
        <f>IF(ISNUMBER(W15),W15," - ")</f>
        <v>469</v>
      </c>
      <c r="BD15" s="126">
        <f>IF(ISNUMBER(BA15/AZ15),BA15/AZ15," - ")</f>
        <v>1.0460317460317461</v>
      </c>
      <c r="BE15" s="127">
        <f>IF(ISNUMBER(BB15/BA15),BB15/BA15, " - ")</f>
        <v>1.1133029843196762</v>
      </c>
      <c r="BF15" s="127">
        <f>IF(ISNUMBER(BC15/BA15),BC15/BA15, " - ")</f>
        <v>0.2372281234193222</v>
      </c>
      <c r="BG15" s="195">
        <f t="shared" ref="BG15:BG17" si="10">IF(ISNUMBER((AY15+AZ15)/BA15),(AY15+AZ15)/BA15," - ")</f>
        <v>2.0920586747597372</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82</v>
      </c>
      <c r="J18" s="182">
        <v>276</v>
      </c>
      <c r="K18" s="182">
        <v>236</v>
      </c>
      <c r="L18" s="182">
        <v>130</v>
      </c>
      <c r="M18" s="182">
        <v>71</v>
      </c>
      <c r="N18" s="182">
        <v>226</v>
      </c>
      <c r="O18" s="182">
        <v>19</v>
      </c>
      <c r="P18" s="182">
        <v>10</v>
      </c>
      <c r="Q18" s="182">
        <v>17</v>
      </c>
      <c r="R18" s="182">
        <v>15</v>
      </c>
      <c r="S18" s="182">
        <v>118</v>
      </c>
      <c r="T18" s="182">
        <v>173</v>
      </c>
      <c r="U18" s="182">
        <v>167</v>
      </c>
      <c r="V18" s="182">
        <v>124</v>
      </c>
      <c r="W18" s="182">
        <v>67</v>
      </c>
      <c r="X18" s="188">
        <v>146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118</v>
      </c>
      <c r="AZ18" s="129">
        <f t="shared" si="19"/>
        <v>173</v>
      </c>
      <c r="BA18" s="129">
        <f t="shared" si="19"/>
        <v>167</v>
      </c>
      <c r="BB18" s="129">
        <f t="shared" si="19"/>
        <v>124</v>
      </c>
      <c r="BC18" s="125">
        <f>IF(ISNUMBER(W18),W18," - ")</f>
        <v>67</v>
      </c>
      <c r="BD18" s="126">
        <f>IF(ISNUMBER(BA18/AZ18),BA18/AZ18," - ")</f>
        <v>0.96531791907514453</v>
      </c>
      <c r="BE18" s="127">
        <f>IF(ISNUMBER(BB18/BA18),BB18/BA18, " - ")</f>
        <v>0.74251497005988021</v>
      </c>
      <c r="BF18" s="127">
        <f>IF(ISNUMBER(BC18/BA18),BC18/BA18, " - ")</f>
        <v>0.40119760479041916</v>
      </c>
      <c r="BG18" s="195">
        <f>IF(ISNUMBER((AY18+AZ18)/BA18),(AY18+AZ18)/BA18," - ")</f>
        <v>1.7425149700598803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2732</v>
      </c>
      <c r="J19" s="183">
        <f t="shared" si="20"/>
        <v>2371</v>
      </c>
      <c r="K19" s="183">
        <f t="shared" si="20"/>
        <v>2439</v>
      </c>
      <c r="L19" s="183">
        <f t="shared" si="20"/>
        <v>2806</v>
      </c>
      <c r="M19" s="183">
        <f t="shared" si="20"/>
        <v>516</v>
      </c>
      <c r="N19" s="183">
        <f t="shared" si="20"/>
        <v>1298</v>
      </c>
      <c r="O19" s="183">
        <f t="shared" si="20"/>
        <v>91</v>
      </c>
      <c r="P19" s="183">
        <f t="shared" si="20"/>
        <v>140</v>
      </c>
      <c r="Q19" s="183">
        <f t="shared" si="20"/>
        <v>167</v>
      </c>
      <c r="R19" s="183">
        <f t="shared" si="20"/>
        <v>376</v>
      </c>
      <c r="S19" s="183">
        <f t="shared" si="20"/>
        <v>2364</v>
      </c>
      <c r="T19" s="183">
        <f t="shared" si="20"/>
        <v>2063</v>
      </c>
      <c r="U19" s="183">
        <f t="shared" si="20"/>
        <v>2144</v>
      </c>
      <c r="V19" s="183">
        <f t="shared" si="20"/>
        <v>2325</v>
      </c>
      <c r="W19" s="183">
        <f t="shared" si="20"/>
        <v>536</v>
      </c>
      <c r="X19" s="183">
        <f t="shared" si="20"/>
        <v>1089</v>
      </c>
      <c r="Y19" s="183">
        <f t="shared" si="20"/>
        <v>0</v>
      </c>
      <c r="Z19" s="183">
        <f t="shared" si="20"/>
        <v>0</v>
      </c>
      <c r="AA19" s="183">
        <f t="shared" si="20"/>
        <v>0</v>
      </c>
      <c r="AB19" s="183">
        <f t="shared" si="20"/>
        <v>0</v>
      </c>
      <c r="AC19" s="183">
        <f t="shared" si="20"/>
        <v>5</v>
      </c>
      <c r="AD19" s="183">
        <f t="shared" si="20"/>
        <v>60</v>
      </c>
      <c r="AE19" s="183">
        <f t="shared" si="20"/>
        <v>63</v>
      </c>
      <c r="AF19" s="183">
        <f t="shared" si="20"/>
        <v>2</v>
      </c>
      <c r="AG19" s="183">
        <f t="shared" si="20"/>
        <v>0</v>
      </c>
      <c r="AH19" s="183">
        <f t="shared" si="20"/>
        <v>0</v>
      </c>
      <c r="AI19" s="183">
        <f t="shared" si="20"/>
        <v>0</v>
      </c>
      <c r="AJ19" s="183">
        <f t="shared" si="20"/>
        <v>0</v>
      </c>
      <c r="AK19" s="183">
        <f t="shared" si="20"/>
        <v>0</v>
      </c>
      <c r="AL19" s="183">
        <f t="shared" si="20"/>
        <v>4</v>
      </c>
      <c r="AM19" s="183">
        <f t="shared" si="20"/>
        <v>4</v>
      </c>
      <c r="AN19" s="183">
        <f t="shared" si="20"/>
        <v>0</v>
      </c>
      <c r="AO19" s="183">
        <f t="shared" si="20"/>
        <v>4</v>
      </c>
      <c r="AP19" s="183">
        <f t="shared" si="20"/>
        <v>4</v>
      </c>
      <c r="AQ19" s="183">
        <f t="shared" si="20"/>
        <v>4</v>
      </c>
      <c r="AR19" s="183">
        <f t="shared" si="20"/>
        <v>4</v>
      </c>
      <c r="AS19" s="183">
        <f t="shared" si="20"/>
        <v>0</v>
      </c>
      <c r="AT19" s="183">
        <f t="shared" si="20"/>
        <v>0</v>
      </c>
      <c r="AU19" s="203"/>
      <c r="AV19" s="132"/>
      <c r="AW19" s="203"/>
      <c r="AX19" s="132"/>
      <c r="AY19" s="183">
        <f>SUBTOTAL(9,AY14:AY18)</f>
        <v>2364</v>
      </c>
      <c r="AZ19" s="183">
        <f>SUBTOTAL(9,AZ14:AZ18)</f>
        <v>2063</v>
      </c>
      <c r="BA19" s="183">
        <f>SUBTOTAL(9,BA14:BA18)</f>
        <v>2144</v>
      </c>
      <c r="BB19" s="183">
        <f>SUBTOTAL(9,BB14:BB18)</f>
        <v>2325</v>
      </c>
      <c r="BC19" s="183">
        <f>SUBTOTAL(9,BC14:BC18)</f>
        <v>536</v>
      </c>
      <c r="BD19" s="204">
        <f>IF(ISNUMBER(BA19/AZ19),BA19/AZ19," - ")</f>
        <v>1.0392632089190499</v>
      </c>
      <c r="BE19" s="205">
        <f>IF(ISNUMBER(BB19/BA19),BB19/BA19, " - ")</f>
        <v>1.0844216417910448</v>
      </c>
      <c r="BF19" s="205">
        <f>IF(ISNUMBER(BC19/BA19),BC19/BA19, " - ")</f>
        <v>0.25</v>
      </c>
      <c r="BG19" s="206">
        <f>IF(ISNUMBER((AY19+AZ19)/BA19),(AY19+AZ19)/BA19," - ")</f>
        <v>2.064832089552239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7116</v>
      </c>
      <c r="J20" s="134">
        <f t="shared" si="23"/>
        <v>4464</v>
      </c>
      <c r="K20" s="134">
        <f t="shared" si="23"/>
        <v>4813</v>
      </c>
      <c r="L20" s="134">
        <f t="shared" si="23"/>
        <v>6986</v>
      </c>
      <c r="M20" s="134">
        <f t="shared" si="23"/>
        <v>1191</v>
      </c>
      <c r="N20" s="134">
        <f t="shared" si="23"/>
        <v>2428</v>
      </c>
      <c r="O20" s="134">
        <f t="shared" si="23"/>
        <v>1368</v>
      </c>
      <c r="P20" s="134">
        <f t="shared" si="23"/>
        <v>762</v>
      </c>
      <c r="Q20" s="134">
        <f t="shared" si="23"/>
        <v>900</v>
      </c>
      <c r="R20" s="134">
        <f t="shared" si="23"/>
        <v>8268</v>
      </c>
      <c r="S20" s="134">
        <f t="shared" si="23"/>
        <v>7635</v>
      </c>
      <c r="T20" s="134">
        <f t="shared" si="23"/>
        <v>5863</v>
      </c>
      <c r="U20" s="134">
        <f t="shared" si="23"/>
        <v>5056</v>
      </c>
      <c r="V20" s="134">
        <f t="shared" si="23"/>
        <v>8484</v>
      </c>
      <c r="W20" s="134">
        <f t="shared" si="23"/>
        <v>1133</v>
      </c>
      <c r="X20" s="134">
        <f t="shared" si="23"/>
        <v>2321</v>
      </c>
      <c r="Y20" s="134">
        <f t="shared" si="23"/>
        <v>271</v>
      </c>
      <c r="Z20" s="134">
        <f t="shared" si="23"/>
        <v>204</v>
      </c>
      <c r="AA20" s="134">
        <f t="shared" si="23"/>
        <v>238</v>
      </c>
      <c r="AB20" s="134">
        <f t="shared" si="23"/>
        <v>249</v>
      </c>
      <c r="AC20" s="134">
        <f t="shared" si="23"/>
        <v>5</v>
      </c>
      <c r="AD20" s="134">
        <f t="shared" si="23"/>
        <v>60</v>
      </c>
      <c r="AE20" s="134">
        <f t="shared" si="23"/>
        <v>63</v>
      </c>
      <c r="AF20" s="134">
        <f t="shared" si="23"/>
        <v>2</v>
      </c>
      <c r="AG20" s="134">
        <f t="shared" si="23"/>
        <v>198</v>
      </c>
      <c r="AH20" s="134">
        <f t="shared" si="23"/>
        <v>138</v>
      </c>
      <c r="AI20" s="134">
        <f t="shared" si="23"/>
        <v>175</v>
      </c>
      <c r="AJ20" s="134">
        <f t="shared" si="23"/>
        <v>161</v>
      </c>
      <c r="AK20" s="134">
        <f t="shared" si="23"/>
        <v>0</v>
      </c>
      <c r="AL20" s="134">
        <f t="shared" si="23"/>
        <v>4</v>
      </c>
      <c r="AM20" s="134">
        <f t="shared" si="23"/>
        <v>4</v>
      </c>
      <c r="AN20" s="209">
        <f t="shared" si="23"/>
        <v>0</v>
      </c>
      <c r="AO20" s="210">
        <v>10</v>
      </c>
      <c r="AP20" s="210">
        <v>10</v>
      </c>
      <c r="AQ20" s="210">
        <v>10</v>
      </c>
      <c r="AR20" s="210">
        <v>10</v>
      </c>
      <c r="AS20" s="152">
        <f t="shared" si="23"/>
        <v>0</v>
      </c>
      <c r="AT20" s="152">
        <f t="shared" si="23"/>
        <v>0</v>
      </c>
      <c r="AU20" s="210"/>
      <c r="AV20" s="211"/>
      <c r="AW20" s="210"/>
      <c r="AX20" s="211"/>
      <c r="AY20" s="133">
        <f>SUBTOTAL(9,AY9:AY19)</f>
        <v>7833</v>
      </c>
      <c r="AZ20" s="134">
        <f>SUBTOTAL(9,AZ9:AZ19)</f>
        <v>6001</v>
      </c>
      <c r="BA20" s="134">
        <f>SUBTOTAL(9,BA9:BA19)</f>
        <v>5231</v>
      </c>
      <c r="BB20" s="134">
        <f>SUBTOTAL(9,BB9:BB19)</f>
        <v>8645</v>
      </c>
      <c r="BC20" s="135">
        <f>SUBTOTAL(9,BC9:BC19)</f>
        <v>1775</v>
      </c>
      <c r="BD20" s="212">
        <f>IF(ISNUMBER(BA20/AZ20),BA20/AZ20," - ")</f>
        <v>0.87168805199133481</v>
      </c>
      <c r="BE20" s="209">
        <f>IF(ISNUMBER(BB20/BA20),BB20/BA20, " - ")</f>
        <v>1.652647677308354</v>
      </c>
      <c r="BF20" s="209">
        <f>IF(ISNUMBER(BC20/BA20),BC20/BA20, " - ")</f>
        <v>0.33932326515006689</v>
      </c>
      <c r="BG20" s="135">
        <f>IF(ISNUMBER((AY20+AZ20)/BA20),(AY20+AZ20)/BA20," - ")</f>
        <v>2.6446186197667751</v>
      </c>
      <c r="BH20" s="210">
        <f>SUBTOTAL(9,BH9:BH19)</f>
        <v>11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Iea6I0dCo1NiI0aIQVsaC+mx0AjZBMddebhNU2nRhBLWTnNjX0GSc48w+XneE/ypjOpAfS3+PBfBt3ZASmMwg==" saltValue="KdckMdV6bed6GDUq9Yj18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8Gu1gRLpSa9uUoN/pLuDOiA1XDVMC3g+t5f+1mCwffMAm4dHV56UHsD3nI/sVd+AYLMko9iK6IpKNWoxIR9Ag==" saltValue="/IQVYBF8BHS27ycrCRFse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GANDIA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204</v>
      </c>
      <c r="O9" s="1247"/>
      <c r="P9" s="1247"/>
      <c r="Q9" s="1215">
        <f>IF(ISNUMBER(Datos!P9),Datos!P9,0)</f>
        <v>621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733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249</v>
      </c>
      <c r="AI9" s="1247" t="str">
        <f>IF(ISNUMBER(Datos!CD9),Datos!CD9,"-")</f>
        <v>-</v>
      </c>
      <c r="AJ9" s="1247" t="str">
        <f>IF(ISNUMBER(Datos!EN9),Datos!EN9," - ")</f>
        <v xml:space="preserve"> - </v>
      </c>
      <c r="AK9" s="1247"/>
      <c r="AL9" s="1258"/>
      <c r="AM9" s="1248">
        <f>IF(ISNUMBER(Datos!R9),Datos!R9," - ")</f>
        <v>7811</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663</v>
      </c>
      <c r="BD9" s="1218">
        <f>IF(ISNUMBER(Datos!N9),Datos!N9," - ")</f>
        <v>1126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1.1382185168933743</v>
      </c>
      <c r="BH9" s="1226">
        <f>IF(ISNUMBER(((IF(J_V="SI",Datos!L9/Datos!K9,(Datos!L9+Datos!AB9)/(Datos!K9+Datos!AA9)))*11)/factor_trimestre),((IF(J_V="SI",Datos!L9/Datos!K9,(Datos!L9+Datos!AB9)/(Datos!K9+Datos!AA9)))*11)/factor_trimestre," - ")</f>
        <v>5.0100231303006941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-1.4136059573393917E-2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97</v>
      </c>
      <c r="G10" s="1246">
        <f>IF(ISNUMBER(Datos!I10),Datos!I10," - ")</f>
        <v>97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18</v>
      </c>
      <c r="AC10" s="1215">
        <f>IF(ISNUMBER(Datos!Q10),Datos!Q10," - ")</f>
        <v>0</v>
      </c>
      <c r="AD10" s="1247"/>
      <c r="AE10" s="1262"/>
      <c r="AF10" s="1245">
        <f>IF(ISNUMBER(Datos!L10),Datos!L10,"-")</f>
        <v>97</v>
      </c>
      <c r="AG10" s="1247"/>
      <c r="AH10" s="1247"/>
      <c r="AI10" s="1247"/>
      <c r="AJ10" s="1247"/>
      <c r="AK10" s="1247"/>
      <c r="AL10" s="1258"/>
      <c r="AM10" s="1248">
        <f>IF(ISNUMBER(Datos!R10),Datos!R10," - ")</f>
        <v>81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4</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16.166666666666668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1.2500000000000001E-2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97</v>
      </c>
      <c r="G13" s="1391">
        <f t="shared" si="0"/>
        <v>97</v>
      </c>
      <c r="H13" s="1392">
        <f t="shared" si="0"/>
        <v>0</v>
      </c>
      <c r="I13" s="1391">
        <f t="shared" si="0"/>
        <v>0</v>
      </c>
      <c r="J13" s="1383">
        <f t="shared" si="0"/>
        <v>0</v>
      </c>
      <c r="K13" s="1383">
        <f t="shared" si="0"/>
        <v>0</v>
      </c>
      <c r="L13" s="1392">
        <f t="shared" si="0"/>
        <v>0</v>
      </c>
      <c r="M13" s="1392">
        <f t="shared" si="0"/>
        <v>0</v>
      </c>
      <c r="N13" s="1392">
        <f t="shared" si="0"/>
        <v>204</v>
      </c>
      <c r="O13" s="1393">
        <f t="shared" si="0"/>
        <v>0</v>
      </c>
      <c r="P13" s="1393">
        <f t="shared" si="0"/>
        <v>0</v>
      </c>
      <c r="Q13" s="1392">
        <f t="shared" si="0"/>
        <v>622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18</v>
      </c>
      <c r="AC13" s="1392">
        <f t="shared" si="1"/>
        <v>733</v>
      </c>
      <c r="AD13" s="1392">
        <f t="shared" si="1"/>
        <v>0</v>
      </c>
      <c r="AE13" s="1392">
        <f t="shared" si="1"/>
        <v>0</v>
      </c>
      <c r="AF13" s="1392">
        <f t="shared" si="1"/>
        <v>97</v>
      </c>
      <c r="AG13" s="1392">
        <f t="shared" si="1"/>
        <v>0</v>
      </c>
      <c r="AH13" s="1392">
        <f t="shared" si="1"/>
        <v>249</v>
      </c>
      <c r="AI13" s="1392">
        <f t="shared" si="1"/>
        <v>0</v>
      </c>
      <c r="AJ13" s="1392">
        <f t="shared" si="1"/>
        <v>0</v>
      </c>
      <c r="AK13" s="1392">
        <f t="shared" si="1"/>
        <v>0</v>
      </c>
      <c r="AL13" s="1392">
        <f t="shared" si="1"/>
        <v>0</v>
      </c>
      <c r="AM13" s="1392">
        <f t="shared" si="1"/>
        <v>7892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675</v>
      </c>
      <c r="BD13" s="1392">
        <f t="shared" si="1"/>
        <v>1130</v>
      </c>
      <c r="BE13" s="1392">
        <f t="shared" si="1"/>
        <v>0</v>
      </c>
      <c r="BF13" s="1392">
        <f t="shared" si="1"/>
        <v>0</v>
      </c>
      <c r="BG13" s="1392">
        <f>IF(ISNUMBER(Datos!K13/Datos!J13),Datos!K13/Datos!J13," - ")</f>
        <v>1.1342570473005256</v>
      </c>
      <c r="BH13" s="1396">
        <f>IF(ISNUMBER(((Datos!L13/Datos!K13)*11)/factor_trimestre),((Datos!L13/Datos!K13)*11)/factor_trimestre," - ")</f>
        <v>5.2822240943555174</v>
      </c>
      <c r="BI13" s="1392">
        <f>IF(ISNUMBER('Resol  Asuntos'!D13/NºAsuntos!G13),'Resol  Asuntos'!D13/NºAsuntos!G13," - ")</f>
        <v>0.25842266462480856</v>
      </c>
      <c r="BJ13" s="1392" t="str">
        <f>IF(ISNUMBER(Datos!CI13/Datos!CJ13),Datos!CI13/Datos!CJ13," - ")</f>
        <v xml:space="preserve"> - </v>
      </c>
      <c r="BK13" s="1392">
        <f>SUBTOTAL(9,BK8:BK12)</f>
        <v>0</v>
      </c>
      <c r="BL13" s="1392">
        <f>IF(ISNUMBER((I13-AB13+L13)/(F13)),(I13-AB13+L13)/(F13)," - ")</f>
        <v>-0.18556701030927836</v>
      </c>
      <c r="BM13" s="1397">
        <f>SUBTOTAL(9,BM9:BM12)</f>
        <v>-1.6360595733939162E-3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2784</v>
      </c>
      <c r="G15" s="1335">
        <f>IF(ISNUMBER(IF(D_I="SI",Datos!I15,Datos!I15+Datos!AC15)),IF(D_I="SI",Datos!I15,Datos!I15+Datos!AC15)," - ")</f>
        <v>2650</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130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2203</v>
      </c>
      <c r="AC15" s="1215">
        <f>IF(ISNUMBER(Datos!Q15),Datos!Q15," - ")</f>
        <v>150</v>
      </c>
      <c r="AD15" s="1247"/>
      <c r="AE15" s="1262"/>
      <c r="AF15" s="1333">
        <f>IF(ISNUMBER(IF(D_I="SI",Datos!L15,Datos!L15+Datos!AF15)),IF(D_I="SI",Datos!L15,Datos!L15+Datos!AF15)," - ")</f>
        <v>2676</v>
      </c>
      <c r="AG15" s="1247"/>
      <c r="AH15" s="1247"/>
      <c r="AI15" s="1247"/>
      <c r="AJ15" s="1247"/>
      <c r="AK15" s="1247"/>
      <c r="AL15" s="1258"/>
      <c r="AM15" s="1248">
        <f>IF(ISNUMBER(Datos!R15),Datos!R15," - ")</f>
        <v>361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445</v>
      </c>
      <c r="BD15" s="1218">
        <f>IF(ISNUMBER(Datos!N15),Datos!N15," - ")</f>
        <v>1072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1.0515513126491647</v>
      </c>
      <c r="BH15" s="1226">
        <f>IF(ISNUMBER(((IF(D_I="SI",Datos!L15/Datos!K15,(Datos!L15+Datos!AF15)/(Datos!K15+Datos!AE15)))*11)/factor_trimestre),((IF(D_I="SI",Datos!L15/Datos!K15,(Datos!L15+Datos!AF15)/(Datos!K15+Datos!AE15)))*11)/factor_trimestre," - ")</f>
        <v>3.6441216522923288</v>
      </c>
      <c r="BI15" s="1223">
        <f>IF(ISNUMBER('Resol  Asuntos'!D15/NºAsuntos!G15),'Resol  Asuntos'!D15/NºAsuntos!G15," - ")</f>
        <v>0.20199727644121651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82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236</v>
      </c>
      <c r="AC18" s="1215">
        <f>IF(ISNUMBER(Datos!Q18),Datos!Q18," - ")</f>
        <v>17</v>
      </c>
      <c r="AD18" s="1247"/>
      <c r="AE18" s="1262"/>
      <c r="AF18" s="1245">
        <f>IF(ISNUMBER(Datos!L18),Datos!L18,"-")</f>
        <v>130</v>
      </c>
      <c r="AG18" s="1247"/>
      <c r="AH18" s="1247"/>
      <c r="AI18" s="1247"/>
      <c r="AJ18" s="1247"/>
      <c r="AK18" s="1247"/>
      <c r="AL18" s="1258"/>
      <c r="AM18" s="1248">
        <f>IF(ISNUMBER(Datos!R18),Datos!R18," - ")</f>
        <v>15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71</v>
      </c>
      <c r="BD18" s="1218">
        <f>IF(ISNUMBER(Datos!N18),Datos!N18," - ")</f>
        <v>226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0.85507246376811596</v>
      </c>
      <c r="BH18" s="1226">
        <f>IF(ISNUMBER(((IF(D_I="SI",Datos!L18/Datos!K18,(Datos!L18+Datos!AF18)/(Datos!K18+Datos!AE18)))*11)/factor_trimestre),((IF(D_I="SI",Datos!L18/Datos!K18,(Datos!L18+Datos!AF18)/(Datos!K18+Datos!AE18)))*11)/factor_trimestre," - ")</f>
        <v>1.6525423728813557</v>
      </c>
      <c r="BI18" s="1223">
        <f>IF(ISNUMBER('Resol  Asuntos'!D18/NºAsuntos!G18),'Resol  Asuntos'!D18/NºAsuntos!G18," - ")</f>
        <v>0.30084745762711862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2784</v>
      </c>
      <c r="G19" s="1391">
        <f>SUBTOTAL(9,G15:G18)</f>
        <v>2732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2439</v>
      </c>
      <c r="AC19" s="1392">
        <f t="shared" si="4"/>
        <v>167</v>
      </c>
      <c r="AD19" s="1392">
        <f t="shared" si="4"/>
        <v>0</v>
      </c>
      <c r="AE19" s="1392">
        <f t="shared" si="4"/>
        <v>0</v>
      </c>
      <c r="AF19" s="1392">
        <f t="shared" si="4"/>
        <v>2806</v>
      </c>
      <c r="AG19" s="1392">
        <f t="shared" si="4"/>
        <v>0</v>
      </c>
      <c r="AH19" s="1392">
        <f t="shared" si="4"/>
        <v>0</v>
      </c>
      <c r="AI19" s="1392">
        <f t="shared" si="4"/>
        <v>0</v>
      </c>
      <c r="AJ19" s="1392">
        <f t="shared" si="4"/>
        <v>0</v>
      </c>
      <c r="AK19" s="1392">
        <f t="shared" si="4"/>
        <v>0</v>
      </c>
      <c r="AL19" s="1392">
        <f t="shared" si="4"/>
        <v>0</v>
      </c>
      <c r="AM19" s="1392">
        <f t="shared" si="4"/>
        <v>376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516</v>
      </c>
      <c r="BD19" s="1392">
        <f t="shared" si="4"/>
        <v>1298</v>
      </c>
      <c r="BE19" s="1392">
        <f t="shared" si="4"/>
        <v>0</v>
      </c>
      <c r="BF19" s="1392">
        <f t="shared" si="4"/>
        <v>0</v>
      </c>
      <c r="BG19" s="1392">
        <f>IF(ISNUMBER(Datos!K19/Datos!J19),Datos!K19/Datos!J19," - ")</f>
        <v>1.0286798819063687</v>
      </c>
      <c r="BH19" s="1396">
        <f>IF(ISNUMBER(((Datos!L19/Datos!K19)*11)/factor_trimestre),((Datos!L19/Datos!K19)*11)/factor_trimestre," - ")</f>
        <v>3.4514145141451418</v>
      </c>
      <c r="BI19" s="1392">
        <f>SUBTOTAL(9,BI15:BI18)</f>
        <v>0.50284473406833508</v>
      </c>
      <c r="BJ19" s="1392">
        <f>SUBTOTAL(9,BJ15:BJ18)</f>
        <v>0</v>
      </c>
      <c r="BK19" s="1392">
        <f>SUBTOTAL(9,BK15:BK18)</f>
        <v>0</v>
      </c>
      <c r="BL19" s="1392">
        <f>IF(ISNUMBER((I19-AB19+L19)/(F19)),(I19-AB19+L19)/(F19)," - ")</f>
        <v>-0.87607758620689657</v>
      </c>
      <c r="BM19" s="1398">
        <f>IF(ISNUMBER((Datos!P19-Datos!Q19)/(Datos!R19-Datos!P19+Datos!Q19)),(Datos!P19-Datos!Q19)/(Datos!R19-Datos!P19+Datos!Q19)," - ")</f>
        <v>-6.699751861042183E-2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11</v>
      </c>
      <c r="F20" s="1367">
        <f t="shared" si="6"/>
        <v>2881</v>
      </c>
      <c r="G20" s="1367">
        <f t="shared" si="6"/>
        <v>2829</v>
      </c>
      <c r="H20" s="1369">
        <f t="shared" si="6"/>
        <v>0</v>
      </c>
      <c r="I20" s="1367">
        <f t="shared" si="6"/>
        <v>0</v>
      </c>
      <c r="J20" s="1369">
        <f t="shared" si="6"/>
        <v>0</v>
      </c>
      <c r="K20" s="1369">
        <f t="shared" si="6"/>
        <v>0</v>
      </c>
      <c r="L20" s="1386">
        <f t="shared" si="6"/>
        <v>0</v>
      </c>
      <c r="M20" s="1386">
        <f t="shared" si="6"/>
        <v>0</v>
      </c>
      <c r="N20" s="1386">
        <f t="shared" si="6"/>
        <v>204</v>
      </c>
      <c r="O20" s="1386">
        <f t="shared" si="6"/>
        <v>0</v>
      </c>
      <c r="P20" s="1386">
        <f t="shared" si="6"/>
        <v>0</v>
      </c>
      <c r="Q20" s="1369">
        <f t="shared" si="6"/>
        <v>762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2457</v>
      </c>
      <c r="AC20" s="1368">
        <f t="shared" si="7"/>
        <v>900</v>
      </c>
      <c r="AD20" s="1368">
        <f t="shared" si="7"/>
        <v>0</v>
      </c>
      <c r="AE20" s="1368">
        <f t="shared" si="7"/>
        <v>0</v>
      </c>
      <c r="AF20" s="1371">
        <f t="shared" si="7"/>
        <v>2903</v>
      </c>
      <c r="AG20" s="1371">
        <f t="shared" si="7"/>
        <v>0</v>
      </c>
      <c r="AH20" s="1371">
        <f t="shared" si="7"/>
        <v>249</v>
      </c>
      <c r="AI20" s="1371">
        <f t="shared" si="7"/>
        <v>0</v>
      </c>
      <c r="AJ20" s="1368">
        <f t="shared" si="7"/>
        <v>0</v>
      </c>
      <c r="AK20" s="1371">
        <f t="shared" si="7"/>
        <v>0</v>
      </c>
      <c r="AL20" s="1371">
        <f t="shared" si="7"/>
        <v>0</v>
      </c>
      <c r="AM20" s="1371">
        <f t="shared" si="7"/>
        <v>8268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1191</v>
      </c>
      <c r="BD20" s="1367">
        <f t="shared" si="7"/>
        <v>2428</v>
      </c>
      <c r="BE20" s="1367">
        <f t="shared" si="7"/>
        <v>0</v>
      </c>
      <c r="BF20" s="1373">
        <f t="shared" si="7"/>
        <v>0</v>
      </c>
      <c r="BG20" s="1404">
        <f>IF(ISNUMBER(Datos!K20/Datos!J20),Datos!K20/Datos!J20," - ")</f>
        <v>1.0781810035842294</v>
      </c>
      <c r="BH20" s="1404">
        <f>IF(ISNUMBER(((Datos!L20/Datos!K20)*11)/factor_trimestre),((Datos!L20/Datos!K20)*11)/factor_trimestre," - ")</f>
        <v>4.3544566798254731</v>
      </c>
      <c r="BI20" s="1362">
        <f>IF(ISNUMBER(Datos!J20/Datos!I20),Datos!J20/Datos!I20," - ")</f>
        <v>0.62731871838111297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-0.85282887886150638</v>
      </c>
      <c r="BM20" s="1387">
        <f>IF(ISNUMBER((Datos!P20-Datos!Q20+R20)/(Datos!R20-Datos!P20+Datos!Q20-R20)),(Datos!P20-Datos!Q20+R20)/(Datos!R20-Datos!P20+Datos!Q20-R20)," - ")</f>
        <v>-1.6416845110635261E-2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1131.5999999999999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2.6583202716502514</v>
      </c>
      <c r="F22" s="1298">
        <f>IF(ISNUMBER(STDEV(F8:F19)),STDEV(F8:F19),"-")</f>
        <v>1551.3401733125245</v>
      </c>
      <c r="G22" s="1299">
        <f>IF(ISNUMBER(STDEV(G8:G19)),STDEV(G8:G19),"-")</f>
        <v>1423.8392816606795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1227.6802108041002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289.48436918079011</v>
      </c>
      <c r="BD22" s="1298"/>
      <c r="BE22" s="1298">
        <f>IF(ISNUMBER(STDEV(BE8:BE19)),STDEV(BE8:BE19),"-")</f>
        <v>0</v>
      </c>
      <c r="BF22" s="1303">
        <f>IF(ISNUMBER(STDEV(BF8:BF19)),STDEV(BF8:BF19),"-")</f>
        <v>0</v>
      </c>
      <c r="BG22" s="1360">
        <f>IF(ISNUMBER(STDEV(BG8:BG19)),STDEV(BG8:BG19),"-")</f>
        <v>0.10432450319139085</v>
      </c>
      <c r="BH22" s="1361">
        <f>IF(ISNUMBER(STDEV(BH8:BH19)),STDEV(BH8:BH19),"-")</f>
        <v>5.2095565259312533</v>
      </c>
      <c r="BI22" s="1224">
        <f>IF(ISNUMBER(STDEV(BI8:BI19)),STDEV(BI8:BI19),"-")</f>
        <v>0.13096096310697242</v>
      </c>
      <c r="BJ22" s="1219" t="str">
        <f>IF(ISNUMBER(BL22/BM22),BL22/BM22," - ")</f>
        <v xml:space="preserve"> - </v>
      </c>
      <c r="BK22" s="1320"/>
      <c r="BL22" s="1306">
        <f>IF(ISNUMBER(STDEV(BL8:BL19)),STDEV(BL8:BL19),"-")</f>
        <v>0.48826471069823391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bk6wozHFWZ+crXQkIj1jKoJJPrk4EXx1mPFQEWHhc+E5SSxymZOEPejcpR1AJtBnaNMuzUBsLsuWptI/X4lqw==" saltValue="wsGshYHQ6NdJRRAWl6795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GANDIA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621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733</v>
      </c>
      <c r="AA9" s="331" t="str">
        <f>IF(ISNUMBER(IF(J_V="SI",Datos!L9,Datos!L9+Datos!AB9)-IF(Monitorios="SI",Datos!CD9,0)),
                          IF(J_V="SI",Datos!L9,Datos!L9+Datos!AB9)-IF(Monitorios="SI",Datos!CD9,0),
                          " - ")</f>
        <v xml:space="preserve"> - </v>
      </c>
      <c r="AB9" s="333"/>
      <c r="AC9" s="333"/>
      <c r="AD9" s="483"/>
      <c r="AE9" s="483">
        <f>IF(ISNUMBER(Datos!R9),Datos!R9," - ")</f>
        <v>7811</v>
      </c>
      <c r="AF9" s="228" t="str">
        <f>IF(ISNUMBER(Datos!BV9),Datos!BV9," - ")</f>
        <v xml:space="preserve"> - </v>
      </c>
      <c r="AG9" s="224" t="str">
        <f>IF(ISNUMBER(Datos!DV9),Datos!DV9," - ")</f>
        <v xml:space="preserve"> - </v>
      </c>
      <c r="AH9" s="297"/>
      <c r="AI9" s="226"/>
      <c r="AJ9" s="224">
        <f>IF(ISNUMBER(Datos!M9),Datos!M9," - ")</f>
        <v>663</v>
      </c>
      <c r="AK9" s="228">
        <f>IF(ISNUMBER(Datos!N9),Datos!N9," - ")</f>
        <v>1126</v>
      </c>
      <c r="AL9" s="228" t="str">
        <f>IF(ISNUMBER(Datos!BW9),Datos!BW9," - ")</f>
        <v xml:space="preserve"> - </v>
      </c>
      <c r="AM9" s="227" t="str">
        <f>IF(ISNUMBER(Datos!BX9),Datos!BX9," - ")</f>
        <v xml:space="preserve"> - </v>
      </c>
      <c r="AN9" s="242"/>
      <c r="AO9" s="259">
        <f>IF(ISNUMBER(((NºAsuntos!I9/NºAsuntos!G9)*11)/factor_trimestre),((NºAsuntos!I9/NºAsuntos!G9)*11)/factor_trimestre," - ")</f>
        <v>5.0100231303006941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-1.4136059573393917E-2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97</v>
      </c>
      <c r="G10" s="224">
        <f>IF(ISNUMBER(Datos!I10),Datos!I10," - ")</f>
        <v>97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18</v>
      </c>
      <c r="Z10" s="617">
        <f>IF(ISNUMBER(Datos!Q10),Datos!Q10," - ")</f>
        <v>0</v>
      </c>
      <c r="AA10" s="331">
        <f>IF(ISNUMBER(Datos!L10),Datos!L10,"-")</f>
        <v>97</v>
      </c>
      <c r="AB10" s="333"/>
      <c r="AC10" s="333"/>
      <c r="AD10" s="483"/>
      <c r="AE10" s="483">
        <f>IF(ISNUMBER(Datos!R10),Datos!R10," - ")</f>
        <v>81</v>
      </c>
      <c r="AF10" s="228" t="str">
        <f>IF(ISNUMBER(Datos!BV10),Datos!BV10," - ")</f>
        <v xml:space="preserve"> - </v>
      </c>
      <c r="AG10" s="224" t="str">
        <f>IF(ISNUMBER(Datos!DV10),Datos!DV10," - ")</f>
        <v xml:space="preserve"> - </v>
      </c>
      <c r="AH10" s="297"/>
      <c r="AI10" s="226"/>
      <c r="AJ10" s="224">
        <f>IF(ISNUMBER(Datos!M10),Datos!M10," - ")</f>
        <v>12</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16.166666666666668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1.2500000000000001E-2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97</v>
      </c>
      <c r="G13" s="895">
        <f>SUBTOTAL(9,G8:G12)</f>
        <v>97</v>
      </c>
      <c r="H13" s="905"/>
      <c r="I13" s="895">
        <f t="shared" ref="I13:N13" si="0">SUBTOTAL(9,I8:I12)</f>
        <v>0</v>
      </c>
      <c r="J13" s="864">
        <f t="shared" si="0"/>
        <v>0</v>
      </c>
      <c r="K13" s="905">
        <f t="shared" si="0"/>
        <v>0</v>
      </c>
      <c r="L13" s="905">
        <f t="shared" si="0"/>
        <v>0</v>
      </c>
      <c r="M13" s="905">
        <f t="shared" si="0"/>
        <v>0</v>
      </c>
      <c r="N13" s="905">
        <f t="shared" si="0"/>
        <v>622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18</v>
      </c>
      <c r="Z13" s="904">
        <f t="shared" si="2"/>
        <v>733</v>
      </c>
      <c r="AA13" s="897">
        <f t="shared" si="2"/>
        <v>97</v>
      </c>
      <c r="AB13" s="897">
        <f t="shared" si="2"/>
        <v>0</v>
      </c>
      <c r="AC13" s="897">
        <f t="shared" si="2"/>
        <v>0</v>
      </c>
      <c r="AD13" s="897">
        <f t="shared" si="2"/>
        <v>0</v>
      </c>
      <c r="AE13" s="897">
        <f t="shared" si="2"/>
        <v>7892</v>
      </c>
      <c r="AF13" s="905">
        <f t="shared" si="2"/>
        <v>0</v>
      </c>
      <c r="AG13" s="905">
        <f t="shared" si="2"/>
        <v>0</v>
      </c>
      <c r="AH13" s="905">
        <f t="shared" si="2"/>
        <v>0</v>
      </c>
      <c r="AI13" s="905">
        <f t="shared" si="2"/>
        <v>0</v>
      </c>
      <c r="AJ13" s="905">
        <f t="shared" si="2"/>
        <v>675</v>
      </c>
      <c r="AK13" s="905">
        <f t="shared" si="2"/>
        <v>1130</v>
      </c>
      <c r="AL13" s="905">
        <f t="shared" si="2"/>
        <v>0</v>
      </c>
      <c r="AM13" s="905">
        <f t="shared" si="2"/>
        <v>0</v>
      </c>
      <c r="AN13" s="905">
        <f t="shared" si="2"/>
        <v>0</v>
      </c>
      <c r="AO13" s="901">
        <f>IF(ISNUMBER(((NºAsuntos!I13/NºAsuntos!G13)*11)/factor_trimestre),((NºAsuntos!I13/NºAsuntos!G13)*11)/factor_trimestre," - ")</f>
        <v>5.0869065849923434</v>
      </c>
      <c r="AP13" s="907" t="str">
        <f>IF(ISNUMBER(Datos!CI13/Datos!CJ13),Datos!CI13/Datos!CJ13," - ")</f>
        <v xml:space="preserve"> - </v>
      </c>
      <c r="AQ13" s="923">
        <f t="shared" ref="AQ13:AV13" si="3">SUBTOTAL(9,AQ9:AQ12)</f>
        <v>0</v>
      </c>
      <c r="AR13" s="923">
        <f t="shared" si="3"/>
        <v>-1.6360595733939162E-3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2784</v>
      </c>
      <c r="G15" s="224">
        <f>IF(ISNUMBER(IF(D_I="SI",Datos!I15,Datos!I15+Datos!AC15)),IF(D_I="SI",Datos!I15,Datos!I15+Datos!AC15)," - ")</f>
        <v>2650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2203</v>
      </c>
      <c r="Z15" s="617">
        <f>IF(ISNUMBER(Datos!Q15),Datos!Q15," - ")</f>
        <v>150</v>
      </c>
      <c r="AA15" s="331">
        <f>IF(ISNUMBER(IF(D_I="SI",Datos!L15,Datos!L15+Datos!AF15)),IF(D_I="SI",Datos!L15,Datos!L15+Datos!AF15)," - ")</f>
        <v>2676</v>
      </c>
      <c r="AB15" s="333"/>
      <c r="AC15" s="333"/>
      <c r="AD15" s="483"/>
      <c r="AE15" s="483">
        <f>IF(ISNUMBER(Datos!R15),Datos!R15," - ")</f>
        <v>361</v>
      </c>
      <c r="AF15" s="228" t="str">
        <f>IF(ISNUMBER(Datos!BV15),Datos!BV15," - ")</f>
        <v xml:space="preserve"> - </v>
      </c>
      <c r="AG15" s="224"/>
      <c r="AH15" s="297"/>
      <c r="AI15" s="226"/>
      <c r="AJ15" s="224">
        <f>IF(ISNUMBER(Datos!M15),Datos!M15," - ")</f>
        <v>445</v>
      </c>
      <c r="AK15" s="228">
        <f>IF(ISNUMBER(Datos!N15),Datos!N15," - ")</f>
        <v>1072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3.6441216522923288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82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236</v>
      </c>
      <c r="Z18" s="617">
        <f>IF(ISNUMBER(Datos!Q18),Datos!Q18," - ")</f>
        <v>17</v>
      </c>
      <c r="AA18" s="331">
        <f>IF(ISNUMBER(Datos!L18),Datos!L18,"-")</f>
        <v>130</v>
      </c>
      <c r="AB18" s="333"/>
      <c r="AC18" s="333"/>
      <c r="AD18" s="483"/>
      <c r="AE18" s="483">
        <f>IF(ISNUMBER(Datos!R18),Datos!R18," - ")</f>
        <v>15</v>
      </c>
      <c r="AF18" s="228" t="str">
        <f>IF(ISNUMBER(Datos!BV18),Datos!BV18," - ")</f>
        <v xml:space="preserve"> - </v>
      </c>
      <c r="AG18" s="224" t="str">
        <f>IF(ISNUMBER(Datos!DV18),Datos!DV18," - ")</f>
        <v xml:space="preserve"> - </v>
      </c>
      <c r="AH18" s="297"/>
      <c r="AI18" s="226"/>
      <c r="AJ18" s="224">
        <f>IF(ISNUMBER(Datos!M18),Datos!M18," - ")</f>
        <v>71</v>
      </c>
      <c r="AK18" s="228">
        <f>IF(ISNUMBER(Datos!N18),Datos!N18," - ")</f>
        <v>226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1.6525423728813557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2784</v>
      </c>
      <c r="G19" s="895">
        <f>SUBTOTAL(9,G15:G18)</f>
        <v>2732</v>
      </c>
      <c r="H19" s="927">
        <f>SUBTOTAL(9,H15:H18)</f>
        <v>0</v>
      </c>
      <c r="I19" s="908">
        <f>SUBTOTAL(9,I15:I18)</f>
        <v>0</v>
      </c>
      <c r="J19" s="864">
        <f>SUBTOTAL(9,J14:J18)</f>
        <v>0</v>
      </c>
      <c r="K19" s="927">
        <f t="shared" ref="K19:S19" si="4">SUBTOTAL(9,K15:K18)</f>
        <v>0</v>
      </c>
      <c r="L19" s="927">
        <f t="shared" si="4"/>
        <v>0</v>
      </c>
      <c r="M19" s="927">
        <f t="shared" si="4"/>
        <v>0</v>
      </c>
      <c r="N19" s="927">
        <f t="shared" si="4"/>
        <v>140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2439</v>
      </c>
      <c r="Z19" s="927">
        <f t="shared" si="5"/>
        <v>167</v>
      </c>
      <c r="AA19" s="927">
        <f t="shared" si="5"/>
        <v>2806</v>
      </c>
      <c r="AB19" s="927">
        <f t="shared" si="5"/>
        <v>0</v>
      </c>
      <c r="AC19" s="927">
        <f t="shared" si="5"/>
        <v>0</v>
      </c>
      <c r="AD19" s="927">
        <f t="shared" si="5"/>
        <v>0</v>
      </c>
      <c r="AE19" s="927">
        <f t="shared" si="5"/>
        <v>376</v>
      </c>
      <c r="AF19" s="927">
        <f t="shared" si="5"/>
        <v>0</v>
      </c>
      <c r="AG19" s="927">
        <f t="shared" si="5"/>
        <v>0</v>
      </c>
      <c r="AH19" s="927">
        <f t="shared" si="5"/>
        <v>0</v>
      </c>
      <c r="AI19" s="927">
        <f t="shared" si="5"/>
        <v>0</v>
      </c>
      <c r="AJ19" s="927">
        <f t="shared" si="5"/>
        <v>516</v>
      </c>
      <c r="AK19" s="927">
        <f t="shared" si="5"/>
        <v>1298</v>
      </c>
      <c r="AL19" s="927">
        <f t="shared" si="5"/>
        <v>0</v>
      </c>
      <c r="AM19" s="927">
        <f t="shared" si="5"/>
        <v>0</v>
      </c>
      <c r="AN19" s="927">
        <f t="shared" si="5"/>
        <v>0</v>
      </c>
      <c r="AO19" s="929">
        <f>IF(ISNUMBER(((NºAsuntos!I19/NºAsuntos!G19)*11)/factor_trimestre),((NºAsuntos!I19/NºAsuntos!G19)*11)/factor_trimestre," - ")</f>
        <v>3.4514145141451418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11</v>
      </c>
      <c r="F20" s="817">
        <f t="shared" si="7"/>
        <v>2881</v>
      </c>
      <c r="G20" s="817">
        <f t="shared" si="7"/>
        <v>2829</v>
      </c>
      <c r="H20" s="818">
        <f t="shared" si="7"/>
        <v>0</v>
      </c>
      <c r="I20" s="817">
        <f t="shared" si="7"/>
        <v>0</v>
      </c>
      <c r="J20" s="819">
        <f t="shared" si="7"/>
        <v>0</v>
      </c>
      <c r="K20" s="817">
        <f t="shared" si="7"/>
        <v>0</v>
      </c>
      <c r="L20" s="820">
        <f t="shared" si="7"/>
        <v>0</v>
      </c>
      <c r="M20" s="817">
        <f t="shared" si="7"/>
        <v>0</v>
      </c>
      <c r="N20" s="818">
        <f t="shared" si="7"/>
        <v>762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2457</v>
      </c>
      <c r="Z20" s="824">
        <f t="shared" si="8"/>
        <v>900</v>
      </c>
      <c r="AA20" s="825">
        <f t="shared" si="8"/>
        <v>2903</v>
      </c>
      <c r="AB20" s="825">
        <f t="shared" si="8"/>
        <v>0</v>
      </c>
      <c r="AC20" s="825">
        <f t="shared" si="8"/>
        <v>0</v>
      </c>
      <c r="AD20" s="826">
        <f t="shared" si="8"/>
        <v>0</v>
      </c>
      <c r="AE20" s="826">
        <f t="shared" si="8"/>
        <v>8268</v>
      </c>
      <c r="AF20" s="827">
        <f t="shared" si="8"/>
        <v>0</v>
      </c>
      <c r="AG20" s="828">
        <f t="shared" si="8"/>
        <v>0</v>
      </c>
      <c r="AH20" s="829">
        <f t="shared" si="8"/>
        <v>0</v>
      </c>
      <c r="AI20" s="827">
        <f t="shared" si="8"/>
        <v>0</v>
      </c>
      <c r="AJ20" s="817">
        <f t="shared" si="8"/>
        <v>1191</v>
      </c>
      <c r="AK20" s="817">
        <f t="shared" si="8"/>
        <v>2428</v>
      </c>
      <c r="AL20" s="817">
        <f t="shared" si="8"/>
        <v>0</v>
      </c>
      <c r="AM20" s="830">
        <f t="shared" si="8"/>
        <v>0</v>
      </c>
      <c r="AN20" s="820">
        <f>IF(ISNUMBER(Datos!K20/Datos!J20),Datos!K20/Datos!J20," - ")</f>
        <v>1.0781810035842294</v>
      </c>
      <c r="AO20" s="820">
        <f>IF(ISNUMBER(FIND("06",Criterios!A8,1)),(IF(ISNUMBER(((Datos!R20/Datos!Q20)*11)/factor_trimestre),((Datos!R20/Datos!Q20)*11)/factor_trimestre," - ")),(IF(ISNUMBER(((Datos!L20/Datos!K20)*11)/factor_trimestre),((Datos!L20/Datos!K20)*11)/factor_trimestre," - ")))</f>
        <v>4.3544566798254731</v>
      </c>
      <c r="AP20" s="831" t="str">
        <f>IF(ISNUMBER(Datos!CI20/Datos!CJ20),Datos!CI20/Datos!CJ20," - ")</f>
        <v xml:space="preserve"> - </v>
      </c>
      <c r="AQ20" s="831">
        <f>IF(OR(ISNUMBER(FIND("01",Criterios!A8,1)),ISNUMBER(FIND("02",Criterios!A8,1)),ISNUMBER(FIND("03",Criterios!A8,1)),ISNUMBER(FIND("04",Criterios!A8,1))),(J20-Y20+K20)/(F20-K20),(I20-Y20+K20)/(F20-K20))</f>
        <v>-0.85282887886150638</v>
      </c>
      <c r="AR20" s="831">
        <f>IF(ISNUMBER((Datos!P20-Datos!Q20+O20)/(Datos!R20-Datos!P20+Datos!Q20-O20)),(Datos!P20-Datos!Q20+O20)/(Datos!R20-Datos!P20+Datos!Q20-O20)," - ")</f>
        <v>-1.6416845110635261E-2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1131.5999999999999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1551.3401733125245</v>
      </c>
      <c r="G22" s="551">
        <f>IF(ISNUMBER(STDEV(G8:G19)),STDEV(G8:G19),"-")</f>
        <v>1423.8392816606795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289.48436918079011</v>
      </c>
      <c r="AK22" s="251"/>
      <c r="AL22" s="251">
        <f>IF(ISNUMBER(STDEV(AL8:AL19)),STDEV(AL8:AL19),"-")</f>
        <v>0</v>
      </c>
      <c r="AM22" s="253">
        <f>IF(ISNUMBER(STDEV(AM8:AM19)),STDEV(AM8:AM19),"-")</f>
        <v>0</v>
      </c>
      <c r="AN22" s="538">
        <f>IF(ISNUMBER(STDEV(AN8:AN19)),STDEV(AN8:AN19),"-")</f>
        <v>0</v>
      </c>
      <c r="AO22" s="539">
        <f>IF(ISNUMBER(STDEV(AO8:AO19)),STDEV(AO8:AO19),"-")</f>
        <v>5.2145555082316033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WU4LNEm2v73AhYGthO495g/amgZ6O5RhzpzPThYKvGTYSh6srMIGO1JhXtqAQ8c27YB8atnR3BQFaLaHB/6Hg==" saltValue="gTnm7YHoqs3I834HrTog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U00pv+qts/cAbGTPU6MLpM/qO1p3aBGqU0PR58c7MF9FC26NjGpbEOHj0WqmOMSj4HmvEVWAiMBAzw3m0OHVw==" saltValue="G5eA0tP1uHfJXN+o05Hh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V5SFIbhXmRJ7wm7aTfTbs8Pzo2pVZgglkCkPFM2mkWx//b2IIoVyZXx0qbqFr+z13bY3gAP8E58r6PG70em1g==" saltValue="dL1+WDGZ/lnpR6GzxINUw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GANDIA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0.25842266462480856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0.18273241856849906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2UYozvtlbU2jUtiW5CoPnji0SRuzZozNwOSbaGcjdnUzyhESsMF521840xcXKyvwzeoRB/LfkyOGtCFmv/HqQ==" saltValue="NvAn2FFNKSpLyjK6gz3gO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2VZKIE4reVNhLhC7g7dSXiq2NC9e/ALs0KO6+MQ2zM/JuPbubIDqRVH2hmA5T0Q5F4M7ODJHTzz1kgg02dJ7Bg==" saltValue="tREWkEVYwUv0ZJyuiiht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GANDIA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4558</v>
      </c>
      <c r="D9" s="403">
        <f>IF(ISNUMBER(C9/Datos!BH9),C9/Datos!BH9," - ")</f>
        <v>759.66666666666663</v>
      </c>
      <c r="E9" s="402">
        <f>IF(ISNUMBER(IF(J_V="SI",Datos!J9,Datos!J9+Datos!Z9)),IF(J_V="SI",Datos!J9,Datos!J9+Datos!Z9)," - ")</f>
        <v>2279</v>
      </c>
      <c r="F9" s="403">
        <f>IF(ISNUMBER(E9/B9),E9/B9," - ")</f>
        <v>379.83333333333331</v>
      </c>
      <c r="G9" s="402">
        <f>IF(ISNUMBER(IF(J_V="SI",Datos!K9,Datos!K9+Datos!AA9)),IF(J_V="SI",Datos!K9,Datos!K9+Datos!AA9)," - ")</f>
        <v>2594</v>
      </c>
      <c r="H9" s="403">
        <f>IF(ISNUMBER(G9/B9),G9/B9," - ")</f>
        <v>432.33333333333331</v>
      </c>
      <c r="I9" s="402">
        <f>IF(ISNUMBER(IF(J_V="SI",Datos!L9,Datos!L9+Datos!AB9)),IF(J_V="SI",Datos!L9,Datos!L9+Datos!AB9)," - ")</f>
        <v>4332</v>
      </c>
      <c r="J9" s="403">
        <f>IF(ISNUMBER(I9/B9),I9/B9," - ")</f>
        <v>722</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97</v>
      </c>
      <c r="D10" s="403">
        <f>IF(ISNUMBER(C10/Datos!BH10),C10/Datos!BH10," - ")</f>
        <v>97</v>
      </c>
      <c r="E10" s="402">
        <f>IF(ISNUMBER(Datos!J10),Datos!J10," - ")</f>
        <v>18</v>
      </c>
      <c r="F10" s="403">
        <f>IF(ISNUMBER(E10/B10),E10/B10," - ")</f>
        <v>18</v>
      </c>
      <c r="G10" s="402">
        <f>IF(ISNUMBER(Datos!K10),Datos!K10," - ")</f>
        <v>18</v>
      </c>
      <c r="H10" s="403">
        <f>IF(ISNUMBER(G10/B10),G10/B10," - ")</f>
        <v>18</v>
      </c>
      <c r="I10" s="402">
        <f>IF(ISNUMBER(Datos!L10),Datos!L10," - ")</f>
        <v>97</v>
      </c>
      <c r="J10" s="403">
        <f>IF(ISNUMBER(I10/B10),I10/B10," - ")</f>
        <v>97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4655</v>
      </c>
      <c r="D13" s="847" t="str">
        <f>IF(ISNUMBER(C13/Datos!BI13),C13/Datos!BI13," - ")</f>
        <v xml:space="preserve"> - </v>
      </c>
      <c r="E13" s="846">
        <f>SUBTOTAL(9,E8:E12)</f>
        <v>2297</v>
      </c>
      <c r="F13" s="847">
        <f>IF(ISNUMBER(E13/B13),E13/B13," - ")</f>
        <v>328.14285714285717</v>
      </c>
      <c r="G13" s="846">
        <f>SUBTOTAL(9,G8:G12)</f>
        <v>2612</v>
      </c>
      <c r="H13" s="847">
        <f>IF(ISNUMBER(G13/B13),G13/B13," - ")</f>
        <v>373.14285714285717</v>
      </c>
      <c r="I13" s="846">
        <f>SUBTOTAL(9,I8:I12)</f>
        <v>4429</v>
      </c>
      <c r="J13" s="847">
        <f>IF(ISNUMBER(I13/B13),I13/B13," - ")</f>
        <v>632.71428571428567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2650</v>
      </c>
      <c r="D15" s="403">
        <f>IF(ISNUMBER(C15/Datos!BH15),C15/Datos!BH15," - ")</f>
        <v>883.33333333333337</v>
      </c>
      <c r="E15" s="402">
        <f>IF(ISNUMBER(IF(D_I="SI",Datos!J15,Datos!J15+Datos!AD15)),IF(D_I="SI",Datos!J15,Datos!J15+Datos!AD15)," - ")</f>
        <v>2095</v>
      </c>
      <c r="F15" s="403">
        <f>IF(ISNUMBER(E15/B15),E15/B15," - ")</f>
        <v>698.33333333333337</v>
      </c>
      <c r="G15" s="402">
        <f>IF(ISNUMBER(IF(D_I="SI",Datos!K15,Datos!K15+Datos!AE15)),IF(D_I="SI",Datos!K15,Datos!K15+Datos!AE15)," - ")</f>
        <v>2203</v>
      </c>
      <c r="H15" s="403">
        <f>IF(ISNUMBER(G15/B15),G15/B15," - ")</f>
        <v>734.33333333333337</v>
      </c>
      <c r="I15" s="402">
        <f>IF(ISNUMBER(IF(D_I="SI",Datos!L15,Datos!L15+Datos!AF15)),IF(D_I="SI",Datos!L15,Datos!L15+Datos!AF15)," - ")</f>
        <v>2676</v>
      </c>
      <c r="J15" s="403">
        <f>IF(ISNUMBER(I15/B15),I15/B15," - ")</f>
        <v>892</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82</v>
      </c>
      <c r="D18" s="403">
        <f>IF(ISNUMBER(C18/Datos!BH18),C18/Datos!BH18," - ")</f>
        <v>82</v>
      </c>
      <c r="E18" s="402">
        <f>IF(ISNUMBER(IF(D_I="SI",Datos!J18,Datos!J18+Datos!AD18)),IF(D_I="SI",Datos!J18,Datos!J18+Datos!AD18)," - ")</f>
        <v>276</v>
      </c>
      <c r="F18" s="403">
        <f>IF(ISNUMBER(E18/B18),E18/B18," - ")</f>
        <v>276</v>
      </c>
      <c r="G18" s="402">
        <f>IF(ISNUMBER(IF(D_I="SI",Datos!K18,Datos!K18+Datos!AE18)),IF(D_I="SI",Datos!K18,Datos!K18+Datos!AE18)," - ")</f>
        <v>236</v>
      </c>
      <c r="H18" s="403">
        <f>IF(ISNUMBER(G18/B18),G18/B18," - ")</f>
        <v>236</v>
      </c>
      <c r="I18" s="402">
        <f>IF(ISNUMBER(IF(D_I="SI",Datos!L18,Datos!L18+Datos!AF18)),IF(D_I="SI",Datos!L18,Datos!L18+Datos!AF18)," - ")</f>
        <v>130</v>
      </c>
      <c r="J18" s="403">
        <f>IF(ISNUMBER(I18/B18),I18/B18," - ")</f>
        <v>130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2732</v>
      </c>
      <c r="D19" s="847" t="str">
        <f>IF(ISNUMBER(C19/Datos!BI19),C19/Datos!BI19," - ")</f>
        <v xml:space="preserve"> - </v>
      </c>
      <c r="E19" s="846">
        <f>SUBTOTAL(9,E14:E18)</f>
        <v>2371</v>
      </c>
      <c r="F19" s="847">
        <f>IF(ISNUMBER(E19/B19),E19/B19," - ")</f>
        <v>592.75</v>
      </c>
      <c r="G19" s="846">
        <f>SUBTOTAL(9,G14:G18)</f>
        <v>2439</v>
      </c>
      <c r="H19" s="847">
        <f>IF(ISNUMBER(G19/B19),G19/B19," - ")</f>
        <v>609.75</v>
      </c>
      <c r="I19" s="846">
        <f>SUBTOTAL(9,I14:I18)</f>
        <v>2806</v>
      </c>
      <c r="J19" s="847">
        <f>IF(ISNUMBER(I19/B19),I19/B19," - ")</f>
        <v>701.5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7387</v>
      </c>
      <c r="D20" s="792" t="str">
        <f>IF(ISNUMBER(C20/Datos!BI20),C20/Datos!BI20," - ")</f>
        <v xml:space="preserve"> - </v>
      </c>
      <c r="E20" s="791">
        <f>SUBTOTAL(9,E9:E19)</f>
        <v>4668</v>
      </c>
      <c r="F20" s="792">
        <f>IF(ISNUMBER(E20/B20),E20/B20," - ")</f>
        <v>466.8</v>
      </c>
      <c r="G20" s="791">
        <f>SUBTOTAL(9,G9:G19)</f>
        <v>5051</v>
      </c>
      <c r="H20" s="792">
        <f>IF(ISNUMBER(G20/B20),G20/B20," - ")</f>
        <v>505.1</v>
      </c>
      <c r="I20" s="791">
        <f>SUBTOTAL(9,I9:I19)</f>
        <v>7235</v>
      </c>
      <c r="J20" s="792">
        <f>IF(ISNUMBER(I20/B20),I20/B20," - ")</f>
        <v>723.5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Pr5fFq1msDVvmYJtkX+4r7qJyJuj5ndi8SVa/V2mF0h4ICs85eUA8UdBrwqxVTMYg9v1bE2dfqZFsL4bm/NBg==" saltValue="eJujLARj2DcGHFCE39oK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GANDIA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97</v>
      </c>
      <c r="G10" s="681">
        <f>IF(ISNUMBER(Datos!I10),Datos!I10," - ")</f>
        <v>97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18</v>
      </c>
      <c r="AC10" s="680" t="str">
        <f>IF(ISNUMBER(IF(D_I="SI",DatosP!K18,DatosP!K18+DatosP!AE18)),IF(D_I="SI",DatosP!K18,DatosP!K18+DatosP!AE18)," - ")</f>
        <v xml:space="preserve"> - </v>
      </c>
      <c r="AD10" s="682"/>
      <c r="AE10" s="682"/>
      <c r="AF10" s="685">
        <f>IF(ISNUMBER(Datos!L10),Datos!L10,"-")</f>
        <v>97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16.166666666666668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97</v>
      </c>
      <c r="G13" s="933">
        <f t="shared" si="0"/>
        <v>97</v>
      </c>
      <c r="H13" s="933">
        <f t="shared" si="0"/>
        <v>0</v>
      </c>
      <c r="I13" s="935">
        <f t="shared" si="0"/>
        <v>0</v>
      </c>
      <c r="J13" s="934">
        <f t="shared" si="0"/>
        <v>0</v>
      </c>
      <c r="K13" s="934">
        <f t="shared" si="0"/>
        <v>0</v>
      </c>
      <c r="L13" s="936">
        <f t="shared" si="0"/>
        <v>0</v>
      </c>
      <c r="M13" s="936">
        <f t="shared" si="0"/>
        <v>0</v>
      </c>
      <c r="N13" s="934">
        <f t="shared" si="0"/>
        <v>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18</v>
      </c>
      <c r="AC13" s="934">
        <f t="shared" si="1"/>
        <v>0</v>
      </c>
      <c r="AD13" s="934">
        <f t="shared" si="1"/>
        <v>0</v>
      </c>
      <c r="AE13" s="934">
        <f t="shared" si="1"/>
        <v>0</v>
      </c>
      <c r="AF13" s="934">
        <f t="shared" si="1"/>
        <v>97</v>
      </c>
      <c r="AG13" s="934">
        <f t="shared" si="1"/>
        <v>0</v>
      </c>
      <c r="AH13" s="934">
        <f t="shared" si="1"/>
        <v>0</v>
      </c>
      <c r="AI13" s="934">
        <f t="shared" si="1"/>
        <v>0</v>
      </c>
      <c r="AJ13" s="934">
        <f t="shared" si="1"/>
        <v>0</v>
      </c>
      <c r="AK13" s="934">
        <f t="shared" si="1"/>
        <v>0</v>
      </c>
      <c r="AL13" s="934">
        <f t="shared" si="1"/>
        <v>12</v>
      </c>
      <c r="AM13" s="934">
        <f t="shared" si="1"/>
        <v>4</v>
      </c>
      <c r="AN13" s="934">
        <f t="shared" si="1"/>
        <v>0</v>
      </c>
      <c r="AO13" s="934">
        <f t="shared" si="1"/>
        <v>0</v>
      </c>
      <c r="AP13" s="939">
        <f>IF(ISNUMBER(((Datos!L13/Datos!K13)*11)/factor_trimestre),((Datos!L13/Datos!K13)*11)/factor_trimestre," - ")</f>
        <v>5.2822240943555174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-0.18556701030927836</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3.4514145141451418</v>
      </c>
      <c r="AQ19" s="939">
        <f>IF(ISNUMBER(((Datos!M19/Datos!L19)*11)/factor_trimestre),((Datos!M19/Datos!L19)*11)/factor_trimestre," - ")</f>
        <v>0.55167498218104061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-6.699751861042183E-2</v>
      </c>
      <c r="AW19" s="941">
        <f>IF(ISNUMBER((Datos!Q19-Datos!R19)/(Datos!S19-Datos!Q19+Datos!R19)),(Datos!Q19-Datos!R19)/(Datos!S19-Datos!Q19+Datos!R19)," - ")</f>
        <v>-8.1228138359891178E-2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97</v>
      </c>
      <c r="G20" s="946">
        <f t="shared" si="4"/>
        <v>97</v>
      </c>
      <c r="H20" s="946">
        <f t="shared" si="4"/>
        <v>0</v>
      </c>
      <c r="I20" s="947">
        <f t="shared" si="4"/>
        <v>0</v>
      </c>
      <c r="J20" s="948">
        <f t="shared" si="4"/>
        <v>0</v>
      </c>
      <c r="K20" s="948">
        <f t="shared" si="4"/>
        <v>0</v>
      </c>
      <c r="L20" s="948">
        <f t="shared" si="4"/>
        <v>0</v>
      </c>
      <c r="M20" s="948">
        <f t="shared" si="4"/>
        <v>0</v>
      </c>
      <c r="N20" s="947">
        <f t="shared" si="4"/>
        <v>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18</v>
      </c>
      <c r="AC20" s="952">
        <f t="shared" si="5"/>
        <v>0</v>
      </c>
      <c r="AD20" s="952">
        <f t="shared" si="5"/>
        <v>0</v>
      </c>
      <c r="AE20" s="952">
        <f t="shared" si="5"/>
        <v>0</v>
      </c>
      <c r="AF20" s="953">
        <f t="shared" si="5"/>
        <v>97</v>
      </c>
      <c r="AG20" s="953">
        <f t="shared" si="5"/>
        <v>0</v>
      </c>
      <c r="AH20" s="953">
        <f t="shared" si="5"/>
        <v>0</v>
      </c>
      <c r="AI20" s="953">
        <f t="shared" si="5"/>
        <v>0</v>
      </c>
      <c r="AJ20" s="954">
        <f t="shared" si="5"/>
        <v>0</v>
      </c>
      <c r="AK20" s="954">
        <f t="shared" si="5"/>
        <v>0</v>
      </c>
      <c r="AL20" s="946">
        <f t="shared" si="5"/>
        <v>12</v>
      </c>
      <c r="AM20" s="946">
        <f t="shared" si="5"/>
        <v>4</v>
      </c>
      <c r="AN20" s="946">
        <f t="shared" si="5"/>
        <v>0</v>
      </c>
      <c r="AO20" s="946">
        <f t="shared" si="5"/>
        <v>0</v>
      </c>
      <c r="AP20" s="946">
        <f>IF(ISNUMBER(((Datos!L20/Datos!K20)*11)/factor_trimestre),((Datos!L20/Datos!K20)*11)/factor_trimestre," - ")</f>
        <v>4.3544566798254731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-0.18556701030927836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-1.6416845110635261E-2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64.666666666666671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56.0029761113937</v>
      </c>
      <c r="G22" s="734">
        <f>IF(ISNUMBER(STDEV(G8:G19)),STDEV(G8:G19),"-")</f>
        <v>56.0029761113937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10.392304845413264</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6.8738707088405047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ww6jQvIXyAyiJbpylSpOr9UHiPPbVrzVVaeTw5sjGL+M2XzMoooeP2ogd6HDahXk38CbpUR/0FfPpcXlqxU+w==" saltValue="mPi4U1gdxJivkEsJ+8i7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GANDIA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204</v>
      </c>
      <c r="O9" s="333"/>
      <c r="P9" s="333"/>
      <c r="Q9" s="225">
        <f>IF(ISNUMBER(Datos!P9),Datos!P9,0)</f>
        <v>621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733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249</v>
      </c>
      <c r="AI9" s="224" t="str">
        <f>IF(ISNUMBER(Datos!CD9),Datos!CD9,"-")</f>
        <v>-</v>
      </c>
      <c r="AJ9" s="1214" t="str">
        <f>IF(ISNUMBER(Datos!EN9),Datos!EN9," - ")</f>
        <v xml:space="preserve"> - </v>
      </c>
      <c r="AK9" s="333"/>
      <c r="AL9" s="478"/>
      <c r="AM9" s="1214">
        <f>IF(ISNUMBER(Datos!R9),Datos!R9," - ")</f>
        <v>7811</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663</v>
      </c>
      <c r="BD9" s="228">
        <f>IF(ISNUMBER(Datos!N9),Datos!N9," - ")</f>
        <v>1126</v>
      </c>
      <c r="BE9" s="1214" t="str">
        <f>IF(ISNUMBER(Datos!BW9),Datos!BW9," - ")</f>
        <v xml:space="preserve"> - </v>
      </c>
      <c r="BF9" s="1214" t="str">
        <f>IF(ISNUMBER(Datos!BX9),Datos!BX9," - ")</f>
        <v xml:space="preserve"> - </v>
      </c>
      <c r="BG9" s="242">
        <f>IF(ISNUMBER(IF(J_V="SI",Datos!K9/Datos!J9,(Datos!K9+Datos!AA9)/(Datos!J9+Datos!Z9))),IF(J_V="SI",Datos!K9/Datos!J9,(Datos!K9+Datos!AA9)/(Datos!J9+Datos!Z9))," - ")</f>
        <v>1.1382185168933743</v>
      </c>
      <c r="BH9" s="1214">
        <f>IF(ISNUMBER(((IF(J_V="SI",Datos!L9/Datos!K9,(Datos!L9+Datos!AB9)/(Datos!K9+Datos!AA9)))*11)/factor_trimestre),((IF(J_V="SI",Datos!L9/Datos!K9,(Datos!L9+Datos!AB9)/(Datos!K9+Datos!AA9)))*11)/factor_trimestre," - ")</f>
        <v>5.0100231303006941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-1.4136059573393917E-2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859.86802108041013</v>
      </c>
      <c r="CF9" s="228">
        <f ca="1">AVERAGEIFS($AB:$AB,$BW:$BW,BW9,$BX:$BX,BX9)</f>
        <v>859.86802108041013</v>
      </c>
      <c r="CG9" s="1191">
        <v>0.7</v>
      </c>
      <c r="CH9" s="1191">
        <f ca="1">AVERAGEIF($BW:$BW,$BW9,$AC:$AC)</f>
        <v>270</v>
      </c>
      <c r="CI9" s="228">
        <f ca="1">AVERAGEIFS($AC:$AC,$BW:$BW,$BW9,$BX:$BX,$BX9)</f>
        <v>270</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967.66666666666663</v>
      </c>
      <c r="CR9" s="228">
        <f ca="1">AVERAGEIFS($AF:$AF,$BW:$BW,BW9,$BX:$BX,BX9)</f>
        <v>967.66666666666663</v>
      </c>
      <c r="CS9" s="1191">
        <v>1.3</v>
      </c>
      <c r="CT9" s="1191">
        <v>1.5</v>
      </c>
      <c r="CU9" s="1191">
        <f ca="1">AVERAGEIF($BW:$BW,$BW9,$AH:$AH)</f>
        <v>106.71428571428571</v>
      </c>
      <c r="CV9" s="228">
        <f ca="1">AVERAGEIFS($AH:$AH,$BW:$BW,$BW9,$BX:$BX,$BX9)</f>
        <v>106.71428571428571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2480.4</v>
      </c>
      <c r="DH9" s="1218">
        <f ca="1">AVERAGEIFS($AM:$AM,$BW:$BW,$BW9,$BX:$BX,$BX9)</f>
        <v>2480.4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4.0700914214907664</v>
      </c>
      <c r="ER9" s="1218">
        <f ca="1">AVERAGEIFS($BH:$BH,$BW:$BW,$BW9,$BX:$BX,$BX9)</f>
        <v>4.0700914214907664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97</v>
      </c>
      <c r="G10" s="332">
        <f>IF(ISNUMBER(Datos!I10),Datos!I10," - ")</f>
        <v>97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18</v>
      </c>
      <c r="AC10" s="224">
        <f>IF(ISNUMBER(Datos!Q10),Datos!Q10," - ")</f>
        <v>0</v>
      </c>
      <c r="AD10" s="224"/>
      <c r="AE10" s="224"/>
      <c r="AF10" s="224">
        <f>IF(ISNUMBER(Datos!L10),Datos!L10,"-")</f>
        <v>97</v>
      </c>
      <c r="AG10" s="333"/>
      <c r="AH10" s="224"/>
      <c r="AI10" s="224"/>
      <c r="AJ10" s="1214"/>
      <c r="AK10" s="333"/>
      <c r="AL10" s="478"/>
      <c r="AM10" s="1214">
        <f>IF(ISNUMBER(Datos!R10),Datos!R10," - ")</f>
        <v>81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4</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16.166666666666668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1.2500000000000001E-2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859.86802108041013</v>
      </c>
      <c r="CF10" s="228">
        <f ca="1">AVERAGEIFS($AB:$AB,$BW:$BW,BW10,$BX:$BX,BX10)</f>
        <v>859.86802108041013</v>
      </c>
      <c r="CG10" s="1191">
        <v>0.7</v>
      </c>
      <c r="CH10" s="1191">
        <f ca="1">AVERAGEIF($BW:$BW,BW10,$AC:$AC)</f>
        <v>270</v>
      </c>
      <c r="CI10" s="228">
        <f ca="1">AVERAGEIFS($AC:$AC,$BW:$BW,BW10,$BX:$BX,BX10)</f>
        <v>270</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967.66666666666663</v>
      </c>
      <c r="CR10" s="228">
        <f ca="1">AVERAGEIFS($AF:$AF,$BW:$BW,BW10,$BX:$BX,BX10)</f>
        <v>967.66666666666663</v>
      </c>
      <c r="CS10" s="1191">
        <v>1.3</v>
      </c>
      <c r="CT10" s="1191">
        <v>1.5</v>
      </c>
      <c r="CU10" s="1191">
        <f ca="1">AVERAGEIF($BW:$BW,$BW10,$AH:$AH)</f>
        <v>106.71428571428571</v>
      </c>
      <c r="CV10" s="228">
        <f ca="1">AVERAGEIFS($AH:$AH,$BW:$BW,$BW10,$BX:$BX,$BX10)</f>
        <v>106.71428571428571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2480.4</v>
      </c>
      <c r="DH10" s="1218">
        <f ca="1">AVERAGEIFS($AM:$AM,$BW:$BW,$BW10,$BX:$BX,$BX10)</f>
        <v>2480.4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4.0700914214907664</v>
      </c>
      <c r="ER10" s="1218">
        <f ca="1">AVERAGEIFS($BH:$BH,$BW:$BW,$BW10,$BX:$BX,$BX10)</f>
        <v>4.0700914214907664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859.86802108041013</v>
      </c>
      <c r="CF11" s="228">
        <f ca="1">AVERAGEIFS($AB:$AB,$BW:$BW,BW11,$BX:$BX,BX11)</f>
        <v>859.86802108041013</v>
      </c>
      <c r="CG11" s="1191">
        <v>0.7</v>
      </c>
      <c r="CH11" s="1191">
        <f ca="1">AVERAGEIF($BW:$BW,BW11,$AC:$AC)</f>
        <v>270</v>
      </c>
      <c r="CI11" s="228">
        <f ca="1">AVERAGEIFS($AC:$AC,$BW:$BW,BW11,$BX:$BX,BX11)</f>
        <v>270</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967.66666666666663</v>
      </c>
      <c r="CR11" s="228">
        <f ca="1">AVERAGEIFS($AF:$AF,$BW:$BW,BW11,$BX:$BX,BX11)</f>
        <v>967.66666666666663</v>
      </c>
      <c r="CS11" s="1191">
        <v>1.3</v>
      </c>
      <c r="CT11" s="1191">
        <v>1.5</v>
      </c>
      <c r="CU11" s="1191">
        <f ca="1">AVERAGEIF($BW:$BW,$BW11,$AH:$AH)</f>
        <v>106.71428571428571</v>
      </c>
      <c r="CV11" s="228">
        <f ca="1">AVERAGEIFS($AH:$AH,$BW:$BW,$BW11,$BX:$BX,$BX11)</f>
        <v>106.71428571428571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2480.4</v>
      </c>
      <c r="DH11" s="1218">
        <f ca="1">AVERAGEIFS($AM:$AM,$BW:$BW,$BW11,$BX:$BX,$BX11)</f>
        <v>2480.4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4.0700914214907664</v>
      </c>
      <c r="ER11" s="1218">
        <f ca="1">AVERAGEIFS($BH:$BH,$BW:$BW,$BW11,$BX:$BX,$BX11)</f>
        <v>4.0700914214907664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859.86802108041013</v>
      </c>
      <c r="CF12" s="228">
        <f ca="1">AVERAGEIFS($AB:$AB,$BW:$BW,BW12,$BX:$BX,BX12)</f>
        <v>859.86802108041013</v>
      </c>
      <c r="CG12" s="1191">
        <v>0.7</v>
      </c>
      <c r="CH12" s="1191">
        <f ca="1">AVERAGEIF($BW:$BW,BW12,$AC:$AC)</f>
        <v>270</v>
      </c>
      <c r="CI12" s="228">
        <f ca="1">AVERAGEIFS($AC:$AC,$BW:$BW,BW12,$BX:$BX,BX12)</f>
        <v>270</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967.66666666666663</v>
      </c>
      <c r="CR12" s="228">
        <f ca="1">AVERAGEIFS($AF:$AF,$BW:$BW,BW12,$BX:$BX,BX12)</f>
        <v>967.66666666666663</v>
      </c>
      <c r="CS12" s="1191">
        <v>1.3</v>
      </c>
      <c r="CT12" s="1191">
        <v>1.5</v>
      </c>
      <c r="CU12" s="1191">
        <f ca="1">AVERAGEIF($BW:$BW,$BW12,$AH:$AH)</f>
        <v>106.71428571428571</v>
      </c>
      <c r="CV12" s="228">
        <f ca="1">AVERAGEIFS($AH:$AH,$BW:$BW,$BW12,$BX:$BX,$BX12)</f>
        <v>106.71428571428571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2480.4</v>
      </c>
      <c r="DH12" s="1218">
        <f ca="1">AVERAGEIFS($AM:$AM,$BW:$BW,$BW12,$BX:$BX,$BX12)</f>
        <v>2480.4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4.0700914214907664</v>
      </c>
      <c r="ER12" s="1218">
        <f ca="1">AVERAGEIFS($BH:$BH,$BW:$BW,$BW12,$BX:$BX,$BX12)</f>
        <v>4.0700914214907664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97</v>
      </c>
      <c r="G13" s="895">
        <f t="shared" si="1"/>
        <v>97</v>
      </c>
      <c r="H13" s="896">
        <f t="shared" si="1"/>
        <v>0</v>
      </c>
      <c r="I13" s="895">
        <f t="shared" si="1"/>
        <v>0</v>
      </c>
      <c r="J13" s="864">
        <f t="shared" si="1"/>
        <v>0</v>
      </c>
      <c r="K13" s="864">
        <f t="shared" si="1"/>
        <v>0</v>
      </c>
      <c r="L13" s="896">
        <f t="shared" si="1"/>
        <v>0</v>
      </c>
      <c r="M13" s="896">
        <f t="shared" si="1"/>
        <v>0</v>
      </c>
      <c r="N13" s="896">
        <f t="shared" si="1"/>
        <v>204</v>
      </c>
      <c r="O13" s="897">
        <f t="shared" si="1"/>
        <v>0</v>
      </c>
      <c r="P13" s="897">
        <f t="shared" si="1"/>
        <v>0</v>
      </c>
      <c r="Q13" s="896">
        <f t="shared" si="1"/>
        <v>622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18</v>
      </c>
      <c r="AC13" s="896">
        <f t="shared" si="2"/>
        <v>733</v>
      </c>
      <c r="AD13" s="896">
        <f t="shared" si="2"/>
        <v>0</v>
      </c>
      <c r="AE13" s="896">
        <f t="shared" si="2"/>
        <v>0</v>
      </c>
      <c r="AF13" s="896">
        <f t="shared" si="2"/>
        <v>97</v>
      </c>
      <c r="AG13" s="896">
        <f t="shared" si="2"/>
        <v>0</v>
      </c>
      <c r="AH13" s="896">
        <f t="shared" si="2"/>
        <v>249</v>
      </c>
      <c r="AI13" s="896">
        <f t="shared" si="2"/>
        <v>0</v>
      </c>
      <c r="AJ13" s="896">
        <f t="shared" si="2"/>
        <v>0</v>
      </c>
      <c r="AK13" s="896">
        <f t="shared" si="2"/>
        <v>0</v>
      </c>
      <c r="AL13" s="896">
        <f t="shared" si="2"/>
        <v>0</v>
      </c>
      <c r="AM13" s="896">
        <f t="shared" si="2"/>
        <v>7892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675</v>
      </c>
      <c r="BD13" s="896">
        <f t="shared" si="2"/>
        <v>1130</v>
      </c>
      <c r="BE13" s="896">
        <f t="shared" si="2"/>
        <v>0</v>
      </c>
      <c r="BF13" s="896">
        <f t="shared" si="2"/>
        <v>0</v>
      </c>
      <c r="BG13" s="896">
        <f>IF(ISNUMBER(Datos!K13/Datos!J13),Datos!K13/Datos!J13," - ")</f>
        <v>1.1342570473005256</v>
      </c>
      <c r="BH13" s="900">
        <f>IF(ISNUMBER(((Datos!L13/Datos!K13)*11)/factor_trimestre),((Datos!L13/Datos!K13)*11)/factor_trimestre," - ")</f>
        <v>5.2822240943555174</v>
      </c>
      <c r="BI13" s="896">
        <f>IF(ISNUMBER('Resol  Asuntos'!D13/NºAsuntos!G13),'Resol  Asuntos'!D13/NºAsuntos!G13," - ")</f>
        <v>0.25842266462480856</v>
      </c>
      <c r="BJ13" s="896" t="str">
        <f>IF(ISNUMBER(Datos!CI13/Datos!CJ13),Datos!CI13/Datos!CJ13," - ")</f>
        <v xml:space="preserve"> - </v>
      </c>
      <c r="BK13" s="896">
        <f>SUBTOTAL(9,BK8:BK12)</f>
        <v>0</v>
      </c>
      <c r="BL13" s="896">
        <f>IF(ISNUMBER((I13-AB13+L13)/(F13)),(I13-AB13+L13)/(F13)," - ")</f>
        <v>-0.18556701030927836</v>
      </c>
      <c r="BM13" s="901">
        <f>SUBTOTAL(9,BM9:BM12)</f>
        <v>-1.6360595733939162E-3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2784</v>
      </c>
      <c r="G15" s="596">
        <f>IF(ISNUMBER(IF(D_I="SI",Datos!I15,Datos!I15+Datos!AC15)),IF(D_I="SI",Datos!I15,Datos!I15+Datos!AC15)," - ")</f>
        <v>2650</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130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2203</v>
      </c>
      <c r="AC15" s="224">
        <f>IF(ISNUMBER(Datos!Q15),Datos!Q15," - ")</f>
        <v>150</v>
      </c>
      <c r="AD15" s="224"/>
      <c r="AE15" s="224"/>
      <c r="AF15" s="224">
        <f>IF(ISNUMBER(IF(D_I="SI",Datos!L15,Datos!L15+Datos!AF15)),IF(D_I="SI",Datos!L15,Datos!L15+Datos!AF15)," - ")</f>
        <v>2676</v>
      </c>
      <c r="AG15" s="333"/>
      <c r="AH15" s="224"/>
      <c r="AI15" s="224"/>
      <c r="AJ15" s="1214"/>
      <c r="AK15" s="333"/>
      <c r="AL15" s="478"/>
      <c r="AM15" s="1214">
        <f>IF(ISNUMBER(Datos!R15),Datos!R15," - ")</f>
        <v>361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445</v>
      </c>
      <c r="BD15" s="228">
        <f>IF(ISNUMBER(Datos!N15),Datos!N15," - ")</f>
        <v>1072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1.0515513126491647</v>
      </c>
      <c r="BH15" s="1214">
        <f>IF(ISNUMBER(((IF(D_I="SI",Datos!L15/Datos!K15,(Datos!L15+Datos!AF15)/(Datos!K15+Datos!AE15)))*11)/factor_trimestre),((IF(D_I="SI",Datos!L15/Datos!K15,(Datos!L15+Datos!AF15)/(Datos!K15+Datos!AE15)))*11)/factor_trimestre," - ")</f>
        <v>3.6441216522923288</v>
      </c>
      <c r="BI15" s="242">
        <f>IF(ISNUMBER('Resol  Asuntos'!D15/NºAsuntos!G15),'Resol  Asuntos'!D15/NºAsuntos!G15," - ")</f>
        <v>0.20199727644121651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859.86802108041013</v>
      </c>
      <c r="CF15" s="228">
        <f ca="1">AVERAGEIFS($AB:$AB,$BW:$BW,BW15,$BX:$BX,BX15)</f>
        <v>859.86802108041013</v>
      </c>
      <c r="CG15" s="1191">
        <v>0.7</v>
      </c>
      <c r="CH15" s="1191">
        <f ca="1">AVERAGEIF($BW:$BW,BW15,$AC:$AC)</f>
        <v>270</v>
      </c>
      <c r="CI15" s="228">
        <f ca="1">AVERAGEIFS($AC:$AC,$BW:$BW,BW15,$BX:$BX,BX15)</f>
        <v>270</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967.66666666666663</v>
      </c>
      <c r="CR15" s="228">
        <f ca="1">AVERAGEIFS($AF:$AF,$BW:$BW,BW15,$BX:$BX,BX15)</f>
        <v>967.66666666666663</v>
      </c>
      <c r="CS15" s="1191">
        <v>1.3</v>
      </c>
      <c r="CT15" s="1191">
        <v>1.5</v>
      </c>
      <c r="CU15" s="1191">
        <f ca="1">AVERAGEIF($BW:$BW,$BW15,$AH:$AH)</f>
        <v>106.71428571428571</v>
      </c>
      <c r="CV15" s="228">
        <f ca="1">AVERAGEIFS($AH:$AH,$BW:$BW,$BW15,$BX:$BX,$BX15)</f>
        <v>106.71428571428571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2480.4</v>
      </c>
      <c r="DH15" s="1218">
        <f ca="1">AVERAGEIFS($AM:$AM,$BW:$BW,$BW15,$BX:$BX,$BX15)</f>
        <v>2480.4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4.0700914214907664</v>
      </c>
      <c r="ER15" s="1218">
        <f ca="1">AVERAGEIFS($BH:$BH,$BW:$BW,$BW15,$BX:$BX,$BX15)</f>
        <v>4.0700914214907664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859.86802108041013</v>
      </c>
      <c r="CF16" s="1218">
        <f ca="1">AVERAGEIFS($AB:$AB,$BW:$BW,BW16,$BX:$BX,BX16)</f>
        <v>859.86802108041013</v>
      </c>
      <c r="CG16" s="1191">
        <v>0.7</v>
      </c>
      <c r="CH16" s="1191">
        <f ca="1">AVERAGEIF($BW:$BW,BW16,$AC:$AC)</f>
        <v>270</v>
      </c>
      <c r="CI16" s="1218">
        <f ca="1">AVERAGEIFS($AC:$AC,$BW:$BW,BW16,$BX:$BX,BX16)</f>
        <v>270</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967.66666666666663</v>
      </c>
      <c r="CR16" s="1218">
        <f ca="1">AVERAGEIFS($AF:$AF,$BW:$BW,BW16,$BX:$BX,BX16)</f>
        <v>967.66666666666663</v>
      </c>
      <c r="CS16" s="1191">
        <v>1.3</v>
      </c>
      <c r="CT16" s="1191">
        <v>1.5</v>
      </c>
      <c r="CU16" s="1191">
        <f ca="1">AVERAGEIF($BW:$BW,$BW16,$AH:$AH)</f>
        <v>106.71428571428571</v>
      </c>
      <c r="CV16" s="1218">
        <f ca="1">AVERAGEIFS($AH:$AH,$BW:$BW,$BW16,$BX:$BX,$BX16)</f>
        <v>106.71428571428571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2480.4</v>
      </c>
      <c r="DH16" s="1218">
        <f ca="1">AVERAGEIFS($AM:$AM,$BW:$BW,$BW16,$BX:$BX,$BX16)</f>
        <v>2480.4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4.0700914214907664</v>
      </c>
      <c r="ER16" s="1218">
        <f ca="1">AVERAGEIFS($BH:$BH,$BW:$BW,$BW16,$BX:$BX,$BX16)</f>
        <v>4.0700914214907664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859.86802108041013</v>
      </c>
      <c r="CF17" s="228">
        <f ca="1">AVERAGEIFS($AB:$AB,$BW:$BW,BW17,$BX:$BX,BX17)</f>
        <v>859.86802108041013</v>
      </c>
      <c r="CG17" s="1191">
        <v>0.7</v>
      </c>
      <c r="CH17" s="1191">
        <f ca="1">AVERAGEIF($BW:$BW,BW17,$AC:$AC)</f>
        <v>270</v>
      </c>
      <c r="CI17" s="228">
        <f ca="1">AVERAGEIFS($AC:$AC,$BW:$BW,BW17,$BX:$BX,BX17)</f>
        <v>270</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967.66666666666663</v>
      </c>
      <c r="CR17" s="228">
        <f ca="1">AVERAGEIFS($AF:$AF,$BW:$BW,BW17,$BX:$BX,BX17)</f>
        <v>967.66666666666663</v>
      </c>
      <c r="CS17" s="1191">
        <v>1.3</v>
      </c>
      <c r="CT17" s="1191">
        <v>1.5</v>
      </c>
      <c r="CU17" s="1191">
        <f ca="1">AVERAGEIF($BW:$BW,$BW17,$AH:$AH)</f>
        <v>106.71428571428571</v>
      </c>
      <c r="CV17" s="228">
        <f ca="1">AVERAGEIFS($AH:$AH,$BW:$BW,$BW17,$BX:$BX,$BX17)</f>
        <v>106.71428571428571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2480.4</v>
      </c>
      <c r="DH17" s="1218">
        <f ca="1">AVERAGEIFS($AM:$AM,$BW:$BW,$BW17,$BX:$BX,$BX17)</f>
        <v>2480.4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4.0700914214907664</v>
      </c>
      <c r="ER17" s="1218">
        <f ca="1">AVERAGEIFS($BH:$BH,$BW:$BW,$BW17,$BX:$BX,$BX17)</f>
        <v>4.0700914214907664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82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236</v>
      </c>
      <c r="AC18" s="224">
        <f>IF(ISNUMBER(Datos!Q18),Datos!Q18," - ")</f>
        <v>17</v>
      </c>
      <c r="AD18" s="224"/>
      <c r="AE18" s="224"/>
      <c r="AF18" s="224">
        <f>IF(ISNUMBER(Datos!L18),Datos!L18,"-")</f>
        <v>130</v>
      </c>
      <c r="AG18" s="333"/>
      <c r="AH18" s="224"/>
      <c r="AI18" s="224"/>
      <c r="AJ18" s="1214"/>
      <c r="AK18" s="333"/>
      <c r="AL18" s="478"/>
      <c r="AM18" s="1214">
        <f>IF(ISNUMBER(Datos!R18),Datos!R18," - ")</f>
        <v>15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71</v>
      </c>
      <c r="BD18" s="228">
        <f>IF(ISNUMBER(Datos!N18),Datos!N18," - ")</f>
        <v>226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0.85507246376811596</v>
      </c>
      <c r="BH18" s="1214">
        <f>IF(ISNUMBER(((IF(D_I="SI",Datos!L18/Datos!K18,(Datos!L18+Datos!AF18)/(Datos!K18+Datos!AE18)))*11)/factor_trimestre),((IF(D_I="SI",Datos!L18/Datos!K18,(Datos!L18+Datos!AF18)/(Datos!K18+Datos!AE18)))*11)/factor_trimestre," - ")</f>
        <v>1.6525423728813557</v>
      </c>
      <c r="BI18" s="242">
        <f>IF(ISNUMBER('Resol  Asuntos'!D18/NºAsuntos!G18),'Resol  Asuntos'!D18/NºAsuntos!G18," - ")</f>
        <v>0.30084745762711862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859.86802108041013</v>
      </c>
      <c r="CF18" s="228">
        <f ca="1">AVERAGEIFS($AB:$AB,$BW:$BW,BW18,$BX:$BX,BX18)</f>
        <v>859.86802108041013</v>
      </c>
      <c r="CG18" s="1191">
        <v>0.7</v>
      </c>
      <c r="CH18" s="1191">
        <f ca="1">AVERAGEIF($BW:$BW,BW18,$AC:$AC)</f>
        <v>270</v>
      </c>
      <c r="CI18" s="228">
        <f ca="1">AVERAGEIFS($AC:$AC,$BW:$BW,BW18,$BX:$BX,BX18)</f>
        <v>270</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967.66666666666663</v>
      </c>
      <c r="CR18" s="228">
        <f ca="1">AVERAGEIFS($AF:$AF,$BW:$BW,BW18,$BX:$BX,BX18)</f>
        <v>967.66666666666663</v>
      </c>
      <c r="CS18" s="1191">
        <v>1.3</v>
      </c>
      <c r="CT18" s="1191">
        <v>1.5</v>
      </c>
      <c r="CU18" s="1191">
        <f ca="1">AVERAGEIF($BW:$BW,$BW18,$AH:$AH)</f>
        <v>106.71428571428571</v>
      </c>
      <c r="CV18" s="228">
        <f ca="1">AVERAGEIFS($AH:$AH,$BW:$BW,$BW18,$BX:$BX,$BX18)</f>
        <v>106.71428571428571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2480.4</v>
      </c>
      <c r="DH18" s="1218">
        <f ca="1">AVERAGEIFS($AM:$AM,$BW:$BW,$BW18,$BX:$BX,$BX18)</f>
        <v>2480.4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4.0700914214907664</v>
      </c>
      <c r="ER18" s="1218">
        <f ca="1">AVERAGEIFS($BH:$BH,$BW:$BW,$BW18,$BX:$BX,$BX18)</f>
        <v>4.0700914214907664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2784</v>
      </c>
      <c r="G19" s="895">
        <f>SUBTOTAL(9,G15:G18)</f>
        <v>2732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2439</v>
      </c>
      <c r="AC19" s="896">
        <f t="shared" si="5"/>
        <v>167</v>
      </c>
      <c r="AD19" s="896">
        <f t="shared" si="5"/>
        <v>0</v>
      </c>
      <c r="AE19" s="896">
        <f t="shared" si="5"/>
        <v>0</v>
      </c>
      <c r="AF19" s="896">
        <f t="shared" si="5"/>
        <v>2806</v>
      </c>
      <c r="AG19" s="896">
        <f t="shared" si="5"/>
        <v>0</v>
      </c>
      <c r="AH19" s="896">
        <f t="shared" si="5"/>
        <v>0</v>
      </c>
      <c r="AI19" s="896">
        <f t="shared" si="5"/>
        <v>0</v>
      </c>
      <c r="AJ19" s="896">
        <f t="shared" si="5"/>
        <v>0</v>
      </c>
      <c r="AK19" s="896">
        <f t="shared" si="5"/>
        <v>0</v>
      </c>
      <c r="AL19" s="896">
        <f t="shared" si="5"/>
        <v>0</v>
      </c>
      <c r="AM19" s="896">
        <f t="shared" si="5"/>
        <v>376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516</v>
      </c>
      <c r="BD19" s="896">
        <f t="shared" si="5"/>
        <v>1298</v>
      </c>
      <c r="BE19" s="896">
        <f t="shared" si="5"/>
        <v>0</v>
      </c>
      <c r="BF19" s="896">
        <f t="shared" si="5"/>
        <v>0</v>
      </c>
      <c r="BG19" s="896">
        <f>IF(ISNUMBER(Datos!K19/Datos!J19),Datos!K19/Datos!J19," - ")</f>
        <v>1.0286798819063687</v>
      </c>
      <c r="BH19" s="900">
        <f>IF(ISNUMBER(((Datos!L19/Datos!K19)*11)/factor_trimestre),((Datos!L19/Datos!K19)*11)/factor_trimestre," - ")</f>
        <v>3.4514145141451418</v>
      </c>
      <c r="BI19" s="896">
        <f>SUBTOTAL(9,BI15:BI18)</f>
        <v>0.50284473406833508</v>
      </c>
      <c r="BJ19" s="896">
        <f>SUBTOTAL(9,BJ15:BJ18)</f>
        <v>0</v>
      </c>
      <c r="BK19" s="896">
        <f>SUBTOTAL(9,BK15:BK18)</f>
        <v>0</v>
      </c>
      <c r="BL19" s="896">
        <f>IF(ISNUMBER((I19-AB19+L19)/(F19)),(I19-AB19+L19)/(F19)," - ")</f>
        <v>-0.87607758620689657</v>
      </c>
      <c r="BM19" s="902">
        <f>IF(ISNUMBER((Datos!P19-Datos!Q19)/(Datos!R19-Datos!P19+Datos!Q19)),(Datos!P19-Datos!Q19)/(Datos!R19-Datos!P19+Datos!Q19)," - ")</f>
        <v>-6.699751861042183E-2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11</v>
      </c>
      <c r="F20" s="817">
        <f t="shared" si="7"/>
        <v>2881</v>
      </c>
      <c r="G20" s="817">
        <f t="shared" si="7"/>
        <v>2829</v>
      </c>
      <c r="H20" s="819">
        <f t="shared" si="7"/>
        <v>0</v>
      </c>
      <c r="I20" s="817">
        <f t="shared" si="7"/>
        <v>0</v>
      </c>
      <c r="J20" s="819">
        <f t="shared" si="7"/>
        <v>0</v>
      </c>
      <c r="K20" s="819">
        <f t="shared" si="7"/>
        <v>0</v>
      </c>
      <c r="L20" s="878">
        <f t="shared" si="7"/>
        <v>0</v>
      </c>
      <c r="M20" s="878">
        <f t="shared" si="7"/>
        <v>0</v>
      </c>
      <c r="N20" s="878">
        <f t="shared" si="7"/>
        <v>204</v>
      </c>
      <c r="O20" s="878">
        <f t="shared" si="7"/>
        <v>0</v>
      </c>
      <c r="P20" s="878">
        <f t="shared" si="7"/>
        <v>0</v>
      </c>
      <c r="Q20" s="819">
        <f t="shared" si="7"/>
        <v>762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2457</v>
      </c>
      <c r="AC20" s="818">
        <f t="shared" si="8"/>
        <v>900</v>
      </c>
      <c r="AD20" s="818">
        <f t="shared" si="8"/>
        <v>0</v>
      </c>
      <c r="AE20" s="818">
        <f t="shared" si="8"/>
        <v>0</v>
      </c>
      <c r="AF20" s="825">
        <f t="shared" si="8"/>
        <v>2903</v>
      </c>
      <c r="AG20" s="825">
        <f t="shared" si="8"/>
        <v>0</v>
      </c>
      <c r="AH20" s="825">
        <f t="shared" si="8"/>
        <v>249</v>
      </c>
      <c r="AI20" s="825">
        <f t="shared" si="8"/>
        <v>0</v>
      </c>
      <c r="AJ20" s="818">
        <f t="shared" si="8"/>
        <v>0</v>
      </c>
      <c r="AK20" s="825">
        <f t="shared" si="8"/>
        <v>0</v>
      </c>
      <c r="AL20" s="825">
        <f t="shared" si="8"/>
        <v>0</v>
      </c>
      <c r="AM20" s="825">
        <f t="shared" si="8"/>
        <v>8268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1191</v>
      </c>
      <c r="BD20" s="817">
        <f t="shared" si="8"/>
        <v>2428</v>
      </c>
      <c r="BE20" s="817">
        <f t="shared" si="8"/>
        <v>0</v>
      </c>
      <c r="BF20" s="827">
        <f t="shared" si="8"/>
        <v>0</v>
      </c>
      <c r="BG20" s="912">
        <f>IF(ISNUMBER(Datos!K20/Datos!J20),Datos!K20/Datos!J20," - ")</f>
        <v>1.0781810035842294</v>
      </c>
      <c r="BH20" s="912">
        <f>IF(ISNUMBER(((Datos!L20/Datos!K20)*11)/factor_trimestre),((Datos!L20/Datos!K20)*11)/factor_trimestre," - ")</f>
        <v>4.3544566798254731</v>
      </c>
      <c r="BI20" s="810">
        <f>IF(ISNUMBER(Datos!J20/Datos!I20),Datos!J20/Datos!I20," - ")</f>
        <v>0.62731871838111297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-0.85282887886150638</v>
      </c>
      <c r="BM20" s="886">
        <f>IF(ISNUMBER((Datos!P20-Datos!Q20+R20)/(Datos!R20-Datos!P20+Datos!Q20-R20)),(Datos!P20-Datos!Q20+R20)/(Datos!R20-Datos!P20+Datos!Q20-R20)," - ")</f>
        <v>-1.6416845110635261E-2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1131.5999999999999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2.6583202716502514</v>
      </c>
      <c r="F22" s="550">
        <f>IF(ISNUMBER(STDEV(F8:F19)),STDEV(F8:F19),"-")</f>
        <v>1551.3401733125245</v>
      </c>
      <c r="G22" s="551">
        <f>IF(ISNUMBER(STDEV(G8:G19)),STDEV(G8:G19),"-")</f>
        <v>1423.8392816606795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1227.6802108041002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289.48436918079011</v>
      </c>
      <c r="BD22" s="550"/>
      <c r="BE22" s="550">
        <f>IF(ISNUMBER(STDEV(BE8:BE19)),STDEV(BE8:BE19),"-")</f>
        <v>0</v>
      </c>
      <c r="BF22" s="555">
        <f>IF(ISNUMBER(STDEV(BF8:BF19)),STDEV(BF8:BF19),"-")</f>
        <v>0</v>
      </c>
      <c r="BG22" s="772">
        <f>IF(ISNUMBER(STDEV(BG8:BG19)),STDEV(BG8:BG19),"-")</f>
        <v>0.10432450319139085</v>
      </c>
      <c r="BH22" s="773">
        <f>IF(ISNUMBER(STDEV(BH8:BH19)),STDEV(BH8:BH19),"-")</f>
        <v>5.2095565259312533</v>
      </c>
      <c r="BI22" s="248">
        <f>IF(ISNUMBER(STDEV(BI8:BI19)),STDEV(BI8:BI19),"-")</f>
        <v>0.13096096310697242</v>
      </c>
      <c r="BJ22" s="1415" t="str">
        <f>IF(ISNUMBER(BL22/BM22),BL22/BM22," - ")</f>
        <v xml:space="preserve"> - </v>
      </c>
      <c r="BK22" s="574"/>
      <c r="BL22" s="558">
        <f>IF(ISNUMBER(STDEV(BL8:BL19)),STDEV(BL8:BL19),"-")</f>
        <v>0.48826471069823391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OOhqCVrWDfZZDRBRt4ID/GxZBVHtCKlL3kjh8uxBCftmGaygN+ldvy8TI+ftMXT5hjowsG12XZ69+7um3QjWQ==" saltValue="HRfZP1u5Dhu6xIC3r/wu+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GANDIA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0.25842266462480856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0.18273241856849906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2njwDWML/3B3rjyVOuZX4X2uqGTfpqdopE2uT5PvGtMBJcZAqv90YRK/c/VHGc38xNNrEGUbDz9f/Uex3Qq++A==" saltValue="LY2hmbSzp0NsMyCxCI2QB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GANDIA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XgzwEMJTd25RqPrXQ/R21yCK8WTt8/DHJsHVXKPYSAxs3Vl6e+pQLnPX6Sl8vxGcLhOlvaj6bETxlx+Xfhoxg==" saltValue="q4gpX749DuUpin2bD46AK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GANDIA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T9wlWItWdMOPUWUX9U3YIPsdSr8p3No8GPPQZygYvmiey2QtLnfG+FM3NkypGQFZdcrZig02syTd4Y4ePOVwA==" saltValue="j+36FcJVJRnWBhk9H2r5C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GANDIA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663</v>
      </c>
      <c r="E9" s="403">
        <f t="shared" ref="E9:E13" si="0">IF(ISNUMBER(D9/B9),D9/B9," - ")</f>
        <v>110.5</v>
      </c>
      <c r="F9" s="402">
        <f>IF(ISNUMBER(Datos!N9),Datos!N9," - ")</f>
        <v>1126</v>
      </c>
      <c r="G9" s="403">
        <f t="shared" ref="G9:G13" si="1">IF(ISNUMBER(F9/B9),F9/B9," - ")</f>
        <v>187.66666666666666</v>
      </c>
      <c r="H9" s="402">
        <f>IF(ISNUMBER(Datos!O9),Datos!O9," - ")</f>
        <v>1276</v>
      </c>
      <c r="I9" s="403">
        <f>IF(ISNUMBER(H9/B9),H9/B9," - ")</f>
        <v>212.66666666666666</v>
      </c>
      <c r="BZ9" s="1181">
        <f>Datos!EZ9</f>
        <v>0</v>
      </c>
    </row>
    <row r="10" spans="1:78">
      <c r="A10" s="401" t="str">
        <f>Datos!A10</f>
        <v>Sección De Violencia sobre la Mujer del TI</v>
      </c>
      <c r="B10" s="426">
        <f>Datos!AO10</f>
        <v>1</v>
      </c>
      <c r="C10" s="409">
        <f>Datos!AQ10</f>
        <v>1</v>
      </c>
      <c r="D10" s="402">
        <f>IF(ISNUMBER(Datos!M10),Datos!M10," - ")</f>
        <v>12</v>
      </c>
      <c r="E10" s="403">
        <f>IF(ISNUMBER(D10/B10),D10/B10," - ")</f>
        <v>12</v>
      </c>
      <c r="F10" s="402">
        <f>IF(ISNUMBER(Datos!N10),Datos!N10," - ")</f>
        <v>4</v>
      </c>
      <c r="G10" s="403">
        <f>IF(ISNUMBER(F10/B10),F10/B10," - ")</f>
        <v>4</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7</v>
      </c>
      <c r="C13" s="848">
        <f>Datos!AR13</f>
        <v>7</v>
      </c>
      <c r="D13" s="846">
        <f>SUBTOTAL(9,D9:D12)</f>
        <v>675</v>
      </c>
      <c r="E13" s="847">
        <f t="shared" si="0"/>
        <v>96.428571428571431</v>
      </c>
      <c r="F13" s="846">
        <f>SUBTOTAL(9,F9:F12)</f>
        <v>1130</v>
      </c>
      <c r="G13" s="847">
        <f t="shared" si="1"/>
        <v>161.42857142857142</v>
      </c>
      <c r="H13" s="846">
        <f>SUBTOTAL(9,H9:H12)</f>
        <v>1277</v>
      </c>
      <c r="I13" s="847">
        <f>IF(ISNUMBER(H13/B13),H13/B13," - ")</f>
        <v>182.42857142857142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445</v>
      </c>
      <c r="E15" s="403">
        <f t="shared" ref="E15:E19" si="3">IF(ISNUMBER(D15/B15),D15/B15," - ")</f>
        <v>148.33333333333334</v>
      </c>
      <c r="F15" s="402">
        <f>IF(ISNUMBER(Datos!N15),Datos!N15," - ")</f>
        <v>1072</v>
      </c>
      <c r="G15" s="403">
        <f t="shared" ref="G15:G19" si="4">IF(ISNUMBER(F15/B15),F15/B15," - ")</f>
        <v>357.33333333333331</v>
      </c>
      <c r="H15" s="402">
        <f>IF(ISNUMBER(Datos!O15),Datos!O15," - ")</f>
        <v>72</v>
      </c>
      <c r="I15" s="403">
        <f t="shared" ref="I15:I18" si="5">IF(ISNUMBER(H15/B15),H15/B15," - ")</f>
        <v>24</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71</v>
      </c>
      <c r="E18" s="403">
        <f>IF(ISNUMBER(D18/B18),D18/B18," - ")</f>
        <v>71</v>
      </c>
      <c r="F18" s="402">
        <f>IF(ISNUMBER(Datos!N18),Datos!N18," - ")</f>
        <v>226</v>
      </c>
      <c r="G18" s="403">
        <f>IF(ISNUMBER(F18/B18),F18/B18," - ")</f>
        <v>226</v>
      </c>
      <c r="H18" s="402">
        <f>IF(ISNUMBER(Datos!O18),Datos!O18," - ")</f>
        <v>19</v>
      </c>
      <c r="I18" s="403">
        <f t="shared" si="5"/>
        <v>19</v>
      </c>
      <c r="BZ18" s="1181">
        <f>Datos!EZ18</f>
        <v>0</v>
      </c>
    </row>
    <row r="19" spans="1:78" ht="14.25" thickTop="1" thickBot="1">
      <c r="A19" s="845" t="str">
        <f>Datos!A19</f>
        <v>TOTAL</v>
      </c>
      <c r="B19" s="846">
        <f>Datos!AP19</f>
        <v>4</v>
      </c>
      <c r="C19" s="848">
        <f>Datos!AR19</f>
        <v>4</v>
      </c>
      <c r="D19" s="846">
        <f>SUBTOTAL(9,D15:D18)</f>
        <v>516</v>
      </c>
      <c r="E19" s="847">
        <f t="shared" si="3"/>
        <v>129</v>
      </c>
      <c r="F19" s="846">
        <f>SUBTOTAL(9,F15:F18)</f>
        <v>1298</v>
      </c>
      <c r="G19" s="847">
        <f t="shared" si="4"/>
        <v>324.5</v>
      </c>
      <c r="H19" s="846">
        <f>SUBTOTAL(9,H15:H18)</f>
        <v>91</v>
      </c>
      <c r="I19" s="847">
        <f>IF(ISNUMBER(H19/B19),H19/B19," - ")</f>
        <v>22.75</v>
      </c>
      <c r="BZ19" s="1181"/>
    </row>
    <row r="20" spans="1:78" ht="14.25" thickTop="1" thickBot="1">
      <c r="A20" s="790" t="str">
        <f>Datos!A20</f>
        <v>TOTAL JURISDICCIONES</v>
      </c>
      <c r="B20" s="791">
        <f>Datos!AP20</f>
        <v>10</v>
      </c>
      <c r="C20" s="791">
        <f>Datos!AR20</f>
        <v>10</v>
      </c>
      <c r="D20" s="791">
        <f>SUBTOTAL(9,D8:D19)</f>
        <v>1191</v>
      </c>
      <c r="E20" s="792">
        <f>IF(ISNUMBER(D20/B20),D20/B20," - ")</f>
        <v>119.1</v>
      </c>
      <c r="F20" s="791">
        <f>SUBTOTAL(9,F8:F19)</f>
        <v>2428</v>
      </c>
      <c r="G20" s="792">
        <f>IF(ISNUMBER(F20/B20),F20/B20," - ")</f>
        <v>242.8</v>
      </c>
      <c r="H20" s="791">
        <f>SUBTOTAL(9,H8:H19)</f>
        <v>1368</v>
      </c>
      <c r="I20" s="792">
        <f>IF(ISNUMBER(H20/B20),H20/B20," - ")</f>
        <v>136.80000000000001</v>
      </c>
    </row>
    <row r="23" spans="1:78">
      <c r="A23" s="390" t="str">
        <f>Criterios!A4</f>
        <v>Fecha Informe: 18 jun. 2026</v>
      </c>
    </row>
    <row r="28" spans="1:78">
      <c r="A28" s="413"/>
    </row>
  </sheetData>
  <sheetProtection algorithmName="SHA-512" hashValue="2Qn3opRYFQOIZICTUj3AD3sSgL4wBRYCI5AbqYUHZaRL9e64Ug8nBx/blQrj+KsqjUoKZilBakal1QzNlaYz1A==" saltValue="OE+DEyQpIl0iyxfYdz2m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GANDIA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621</v>
      </c>
      <c r="C9" s="433">
        <f>IF(ISNUMBER(Datos!Q9),Datos!Q9," - ")</f>
        <v>733</v>
      </c>
      <c r="D9" s="407">
        <f>IF(ISNUMBER(Datos!R9),Datos!R9," - ")</f>
        <v>7811</v>
      </c>
    </row>
    <row r="10" spans="1:4">
      <c r="A10" s="401" t="str">
        <f>Datos!A10</f>
        <v>Sección De Violencia sobre la Mujer del TI</v>
      </c>
      <c r="B10" s="432">
        <f>IF(ISNUMBER(Datos!P10),Datos!P10," - ")</f>
        <v>1</v>
      </c>
      <c r="C10" s="433">
        <f>IF(ISNUMBER(Datos!Q10),Datos!Q10," - ")</f>
        <v>0</v>
      </c>
      <c r="D10" s="407">
        <f>IF(ISNUMBER(Datos!R10),Datos!R10," - ")</f>
        <v>81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622</v>
      </c>
      <c r="C13" s="850">
        <f>SUBTOTAL(9,C9:C12)</f>
        <v>733</v>
      </c>
      <c r="D13" s="848">
        <f>SUBTOTAL(9,D9:D12)</f>
        <v>7892</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130</v>
      </c>
      <c r="C15" s="433">
        <f>IF(ISNUMBER(Datos!Q15),Datos!Q15," - ")</f>
        <v>150</v>
      </c>
      <c r="D15" s="407">
        <f>IF(ISNUMBER(Datos!R15),Datos!R15," - ")</f>
        <v>361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10</v>
      </c>
      <c r="C18" s="433">
        <f>IF(ISNUMBER(Datos!Q18),Datos!Q18," - ")</f>
        <v>17</v>
      </c>
      <c r="D18" s="407">
        <f>IF(ISNUMBER(Datos!R18),Datos!R18," - ")</f>
        <v>15</v>
      </c>
    </row>
    <row r="19" spans="1:4" ht="14.25" thickTop="1" thickBot="1">
      <c r="A19" s="845" t="str">
        <f>Datos!A19</f>
        <v>TOTAL</v>
      </c>
      <c r="B19" s="846">
        <f>SUBTOTAL(9,B15:B18)</f>
        <v>140</v>
      </c>
      <c r="C19" s="850">
        <f>SUBTOTAL(9,C15:C18)</f>
        <v>167</v>
      </c>
      <c r="D19" s="848">
        <f>SUBTOTAL(9,D15:D18)</f>
        <v>376</v>
      </c>
    </row>
    <row r="20" spans="1:4" ht="16.5" customHeight="1" thickTop="1" thickBot="1">
      <c r="A20" s="790" t="str">
        <f>Datos!A20</f>
        <v>TOTAL JURISDICCIONES</v>
      </c>
      <c r="B20" s="795">
        <f>SUBTOTAL(9,B8:B19)</f>
        <v>762</v>
      </c>
      <c r="C20" s="796">
        <f>SUBTOTAL(9,C8:C19)</f>
        <v>900</v>
      </c>
      <c r="D20" s="797">
        <f>SUBTOTAL(9,D8:D19)</f>
        <v>8268</v>
      </c>
    </row>
    <row r="21" spans="1:4" ht="7.5" customHeight="1"/>
    <row r="22" spans="1:4" ht="6" customHeight="1"/>
    <row r="23" spans="1:4">
      <c r="A23" s="390" t="str">
        <f>Criterios!A4</f>
        <v>Fecha Informe: 18 jun. 2026</v>
      </c>
    </row>
    <row r="28" spans="1:4">
      <c r="A28" s="413"/>
    </row>
  </sheetData>
  <sheetProtection algorithmName="SHA-512" hashValue="uWTJTTzLtDen3o6hFt/rdVo0IQWHGSn6OySN1o1IaXif3w9GQ6K0JXgTGR++v1B7pSBe6dZ2dpArsGJ7I/zarg==" saltValue="1T0W9n2pfMmQTkmCe2/+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GANDIA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-0.15467359050445104</v>
      </c>
      <c r="C9" s="455">
        <f>IF(ISNUMBER(
   IF(J_V="SI",(Datos!J9-Datos!T9)/Datos!T9,(Datos!J9+Datos!Z9-(Datos!T9+Datos!AH9))/(Datos!T9+Datos!AH9))
     ),IF(J_V="SI",(Datos!J9-Datos!T9)/Datos!T9,(Datos!J9+Datos!Z9-(Datos!T9+Datos!AH9))/(Datos!T9+Datos!AH9))," - ")</f>
        <v>-0.41534120061570035</v>
      </c>
      <c r="D9" s="455">
        <f>IF(ISNUMBER(
   IF(J_V="SI",(Datos!K9-Datos!U9)/Datos!U9,(Datos!K9+Datos!AA9-(Datos!U9+Datos!AI9))/(Datos!U9+Datos!AI9))
     ),IF(J_V="SI",(Datos!K9-Datos!U9)/Datos!U9,(Datos!K9+Datos!AA9-(Datos!U9+Datos!AI9))/(Datos!U9+Datos!AI9))," - ")</f>
        <v>-0.15201046093494605</v>
      </c>
      <c r="E9" s="455">
        <f>IF(ISNUMBER(
   IF(J_V="SI",(Datos!L9-Datos!V9)/Datos!V9,(Datos!L9+Datos!AB9-(Datos!V9+Datos!AJ9))/(Datos!V9+Datos!AJ9))
     ),IF(J_V="SI",(Datos!L9-Datos!V9)/Datos!V9,(Datos!L9+Datos!AB9-(Datos!V9+Datos!AJ9))/(Datos!V9+Datos!AJ9))," - ")</f>
        <v>-0.30476649012999518</v>
      </c>
      <c r="F9" s="455">
        <f>IF(ISNUMBER((Datos!M9-Datos!W9)/Datos!W9),(Datos!M9-Datos!W9)/Datos!W9," - ")</f>
        <v>0.14113597246127366</v>
      </c>
      <c r="G9" s="456">
        <f>IF(ISNUMBER((Datos!N9-Datos!X9)/Datos!X9),(Datos!N9-Datos!X9)/Datos!X9," - ")</f>
        <v>-7.9313164349959123E-2</v>
      </c>
      <c r="H9" s="454">
        <f>IF(ISNUMBER(((NºAsuntos!G9/NºAsuntos!E9)-Datos!BD9)/Datos!BD9),((NºAsuntos!G9/NºAsuntos!E9)-Datos!BD9)/Datos!BD9," - ")</f>
        <v>0.45040071227537526</v>
      </c>
      <c r="I9" s="455">
        <f>IF(ISNUMBER(((NºAsuntos!I9/NºAsuntos!G9)-Datos!BE9)/Datos!BE9),((NºAsuntos!I9/NºAsuntos!G9)-Datos!BE9)/Datos!BE9," - ")</f>
        <v>-0.18013904907773914</v>
      </c>
      <c r="J9" s="460">
        <f>IF(ISNUMBER((('Resol  Asuntos'!D9/NºAsuntos!G9)-Datos!BF9)/Datos!BF9),(('Resol  Asuntos'!D9/NºAsuntos!G9)-Datos!BF9)/Datos!BF9," - ")</f>
        <v>-0.3607119643986279</v>
      </c>
      <c r="K9" s="461">
        <f>IF(ISNUMBER((((NºAsuntos!C9+NºAsuntos!E9)/NºAsuntos!G9)-Datos!BG9)/Datos!BG9),(((NºAsuntos!C9+NºAsuntos!E9)/NºAsuntos!G9)-Datos!BG9)/Datos!BG9," - ")</f>
        <v>-0.13212061783713855</v>
      </c>
    </row>
    <row r="10" spans="1:11" ht="21">
      <c r="A10" s="401" t="str">
        <f>Datos!A10</f>
        <v>Sección De Violencia sobre la Mujer del TI</v>
      </c>
      <c r="B10" s="454">
        <f>IF(ISNUMBER((Datos!I10-Datos!S10)/Datos!S10),(Datos!I10-Datos!S10)/Datos!S10," - ")</f>
        <v>0.25974025974025972</v>
      </c>
      <c r="C10" s="455">
        <f>IF(ISNUMBER((Datos!J10-Datos!T10)/Datos!T10),(Datos!J10-Datos!T10)/Datos!T10," - ")</f>
        <v>-0.55000000000000004</v>
      </c>
      <c r="D10" s="455">
        <f>IF(ISNUMBER((Datos!K10-Datos!U10)/Datos!U10),(Datos!K10-Datos!U10)/Datos!U10," - ")</f>
        <v>-0.35714285714285715</v>
      </c>
      <c r="E10" s="455">
        <f>IF(ISNUMBER((Datos!L10-Datos!V10)/Datos!V10),(Datos!L10-Datos!V10)/Datos!V10," - ")</f>
        <v>8.98876404494382E-2</v>
      </c>
      <c r="F10" s="455">
        <f>IF(ISNUMBER((Datos!M10-Datos!W10)/Datos!W10),(Datos!M10-Datos!W10)/Datos!W10," - ")</f>
        <v>-0.25</v>
      </c>
      <c r="G10" s="456">
        <f>IF(ISNUMBER((Datos!N10-Datos!X10)/Datos!X10),(Datos!N10-Datos!X10)/Datos!X10," - ")</f>
        <v>-0.55555555555555558</v>
      </c>
      <c r="H10" s="454">
        <f>IF(ISNUMBER(((NºAsuntos!G10/NºAsuntos!E10)-Datos!BD10)/Datos!BD10),((NºAsuntos!G10/NºAsuntos!E10)-Datos!BD10)/Datos!BD10," - ")</f>
        <v>0.42857142857142866</v>
      </c>
      <c r="I10" s="455">
        <f>IF(ISNUMBER(((NºAsuntos!I10/NºAsuntos!G10)-Datos!BE10)/Datos!BE10),((NºAsuntos!I10/NºAsuntos!G10)-Datos!BE10)/Datos!BE10," - ")</f>
        <v>0.69538077403245968</v>
      </c>
      <c r="J10" s="460">
        <f>IF(ISNUMBER((('Resol  Asuntos'!D10/NºAsuntos!G10)-Datos!BF10)/Datos!BF10),(('Resol  Asuntos'!D10/NºAsuntos!G10)-Datos!BF10)/Datos!BF10," - ")</f>
        <v>0.16666666666666666</v>
      </c>
      <c r="K10" s="461">
        <f>IF(ISNUMBER((((NºAsuntos!C10+NºAsuntos!E10)/NºAsuntos!G10)-Datos!BG10)/Datos!BG10),(((NºAsuntos!C10+NºAsuntos!E10)/NºAsuntos!G10)-Datos!BG10)/Datos!BG10," - ")</f>
        <v>0.52896486229819561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-0.14883891022124704</v>
      </c>
      <c r="C13" s="852">
        <f>IF(ISNUMBER(
   IF(J_V="SI",(Datos!J13-Datos!T13)/Datos!T13,(Datos!J13+Datos!Z13-(Datos!T13+Datos!AH13))/(Datos!T13+Datos!AH13))
     ),IF(J_V="SI",(Datos!J13-Datos!T13)/Datos!T13,(Datos!J13+Datos!Z13-(Datos!T13+Datos!AH13))/(Datos!T13+Datos!AH13))," - ")</f>
        <v>-0.41670898933468764</v>
      </c>
      <c r="D13" s="852">
        <f>IF(ISNUMBER(
   IF(J_V="SI",(Datos!K13-Datos!U13)/Datos!U13,(Datos!K13+Datos!AA13-(Datos!U13+Datos!AI13))/(Datos!U13+Datos!AI13))
     ),IF(J_V="SI",(Datos!K13-Datos!U13)/Datos!U13,(Datos!K13+Datos!AA13-(Datos!U13+Datos!AI13))/(Datos!U13+Datos!AI13))," - ")</f>
        <v>-0.15387107223841917</v>
      </c>
      <c r="E13" s="852">
        <f>IF(ISNUMBER(
   IF(J_V="SI",(Datos!L13-Datos!V13)/Datos!V13,(Datos!L13+Datos!AB13-(Datos!V13+Datos!AJ13))/(Datos!V13+Datos!AJ13))
     ),IF(J_V="SI",(Datos!L13-Datos!V13)/Datos!V13,(Datos!L13+Datos!AB13-(Datos!V13+Datos!AJ13))/(Datos!V13+Datos!AJ13))," - ")</f>
        <v>-0.29920886075949366</v>
      </c>
      <c r="F13" s="853">
        <f>IF(ISNUMBER((Datos!M13-Datos!W13)/Datos!W13),(Datos!M13-Datos!W13)/Datos!W13," - ")</f>
        <v>0.1306532663316583</v>
      </c>
      <c r="G13" s="854">
        <f>IF(ISNUMBER((Datos!N13-Datos!X13)/Datos!X13),(Datos!N13-Datos!X13)/Datos!X13," - ")</f>
        <v>-8.2792207792207792E-2</v>
      </c>
      <c r="H13" s="854">
        <f>IF(ISNUMBER(((NºAsuntos!G13/NºAsuntos!E13)-Datos!BD13)/Datos!BD13),((NºAsuntos!G13/NºAsuntos!E13)-Datos!BD13)/Datos!BD13," - ")</f>
        <v>0.45061197976713352</v>
      </c>
      <c r="I13" s="854">
        <f>IF(ISNUMBER(((NºAsuntos!I13/NºAsuntos!G13)-Datos!BE13)/Datos!BE13),((NºAsuntos!I13/NºAsuntos!G13)-Datos!BE13)/Datos!BE13," - ")</f>
        <v>-0.1717678993738733</v>
      </c>
      <c r="J13" s="854">
        <f>IF(ISNUMBER((('Resol  Asuntos'!D13/NºAsuntos!G13)-Datos!BF13)/Datos!BF13),(('Resol  Asuntos'!D13/NºAsuntos!G13)-Datos!BF13)/Datos!BF13," - ")</f>
        <v>-0.35613336101954479</v>
      </c>
      <c r="K13" s="854">
        <f>IF(ISNUMBER((((NºAsuntos!C13+NºAsuntos!E13)/NºAsuntos!G13)-Datos!BG13)/Datos!BG13),(((NºAsuntos!C13+NºAsuntos!E13)/NºAsuntos!G13)-Datos!BG13)/Datos!BG13," - ")</f>
        <v>-0.12658212393071458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0.1798753339269813</v>
      </c>
      <c r="C15" s="455">
        <f>IF(ISNUMBER(
   IF(D_I="SI",(Datos!J15-Datos!T15)/Datos!T15,(Datos!J15+Datos!AD15-(Datos!T15+Datos!AL15))/(Datos!T15+Datos!AL15))
     ),IF(D_I="SI",(Datos!J15-Datos!T15)/Datos!T15,(Datos!J15+Datos!AD15-(Datos!T15+Datos!AL15))/(Datos!T15+Datos!AL15))," - ")</f>
        <v>0.10846560846560846</v>
      </c>
      <c r="D15" s="455">
        <f>IF(ISNUMBER(
   IF(D_I="SI",(Datos!K15-Datos!U15)/Datos!U15,(Datos!K15+Datos!AE15-(Datos!U15+Datos!AM15))/(Datos!U15+Datos!AM15))
     ),IF(D_I="SI",(Datos!K15-Datos!U15)/Datos!U15,(Datos!K15+Datos!AE15-(Datos!U15+Datos!AM15))/(Datos!U15+Datos!AM15))," - ")</f>
        <v>0.11431461810824481</v>
      </c>
      <c r="E15" s="455">
        <f>IF(ISNUMBER(
   IF(D_I="SI",(Datos!L15-Datos!V15)/Datos!V15,(Datos!L15+Datos!AF15-(Datos!V15+Datos!AN15))/(Datos!V15+Datos!AN15))
     ),IF(D_I="SI",(Datos!L15-Datos!V15)/Datos!V15,(Datos!L15+Datos!AF15-(Datos!V15+Datos!AN15))/(Datos!V15+Datos!AN15))," - ")</f>
        <v>0.21581099500227169</v>
      </c>
      <c r="F15" s="455">
        <f>IF(ISNUMBER((Datos!M15-Datos!W15)/Datos!W15),(Datos!M15-Datos!W15)/Datos!W15," - ")</f>
        <v>-5.1172707889125799E-2</v>
      </c>
      <c r="G15" s="456">
        <f>IF(ISNUMBER((Datos!N15-Datos!X15)/Datos!X15),(Datos!N15-Datos!X15)/Datos!X15," - ")</f>
        <v>0.13679745493107104</v>
      </c>
      <c r="H15" s="454">
        <f>IF(ISNUMBER(((NºAsuntos!G15/NºAsuntos!E15)-Datos!BD15)/Datos!BD15),((NºAsuntos!G15/NºAsuntos!E15)-Datos!BD15)/Datos!BD15," - ")</f>
        <v>5.2766721835716427E-3</v>
      </c>
      <c r="I15" s="455">
        <f>IF(ISNUMBER(((NºAsuntos!I15/NºAsuntos!G15)-Datos!BE15)/Datos!BE15),((NºAsuntos!I15/NºAsuntos!G15)-Datos!BE15)/Datos!BE15," - ")</f>
        <v>9.1084129423282492E-2</v>
      </c>
      <c r="J15" s="460">
        <f>IF(ISNUMBER((('Resol  Asuntos'!D15/NºAsuntos!G15)-Datos!BF15)/Datos!BF15),(('Resol  Asuntos'!D15/NºAsuntos!G15)-Datos!BF15)/Datos!BF15," - ")</f>
        <v>-0.14851041466037304</v>
      </c>
      <c r="K15" s="461">
        <f>IF(ISNUMBER((((NºAsuntos!C15+NºAsuntos!E15)/NºAsuntos!G15)-Datos!BG15)/Datos!BG15),(((NºAsuntos!C15+NºAsuntos!E15)/NºAsuntos!G15)-Datos!BG15)/Datos!BG15," - ")</f>
        <v>2.9550985951107469E-2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-0.30508474576271188</v>
      </c>
      <c r="C18" s="455">
        <f>IF(ISNUMBER(
   IF(D_I="SI",(Datos!J18-Datos!T18)/Datos!T18,(Datos!J18+Datos!AD18-(Datos!T18+Datos!AL18))/(Datos!T18+Datos!AL18))
     ),IF(D_I="SI",(Datos!J18-Datos!T18)/Datos!T18,(Datos!J18+Datos!AD18-(Datos!T18+Datos!AL18))/(Datos!T18+Datos!AL18))," - ")</f>
        <v>0.59537572254335258</v>
      </c>
      <c r="D18" s="455">
        <f>IF(ISNUMBER(
   IF(D_I="SI",(Datos!K18-Datos!U18)/Datos!U18,(Datos!K18+Datos!AE18-(Datos!U18+Datos!AM18))/(Datos!U18+Datos!AM18))
     ),IF(D_I="SI",(Datos!K18-Datos!U18)/Datos!U18,(Datos!K18+Datos!AE18-(Datos!U18+Datos!AM18))/(Datos!U18+Datos!AM18))," - ")</f>
        <v>0.41317365269461076</v>
      </c>
      <c r="E18" s="455">
        <f>IF(ISNUMBER(
   IF(D_I="SI",(Datos!L18-Datos!V18)/Datos!V18,(Datos!L18+Datos!AF18-(Datos!V18+Datos!AN18))/(Datos!V18+Datos!AN18))
     ),IF(D_I="SI",(Datos!L18-Datos!V18)/Datos!V18,(Datos!L18+Datos!AF18-(Datos!V18+Datos!AN18))/(Datos!V18+Datos!AN18))," - ")</f>
        <v>4.8387096774193547E-2</v>
      </c>
      <c r="F18" s="455">
        <f>IF(ISNUMBER((Datos!M18-Datos!W18)/Datos!W18),(Datos!M18-Datos!W18)/Datos!W18," - ")</f>
        <v>5.9701492537313432E-2</v>
      </c>
      <c r="G18" s="456">
        <f>IF(ISNUMBER((Datos!N18-Datos!X18)/Datos!X18),(Datos!N18-Datos!X18)/Datos!X18," - ")</f>
        <v>0.54794520547945202</v>
      </c>
      <c r="H18" s="454">
        <f>IF(ISNUMBER(((NºAsuntos!G18/NºAsuntos!E18)-Datos!BD18)/Datos!BD18),((NºAsuntos!G18/NºAsuntos!E18)-Datos!BD18)/Datos!BD18," - ")</f>
        <v>-0.11420636986895773</v>
      </c>
      <c r="I18" s="455">
        <f>IF(ISNUMBER(((NºAsuntos!I18/NºAsuntos!G18)-Datos!BE18)/Datos!BE18),((NºAsuntos!I18/NºAsuntos!G18)-Datos!BE18)/Datos!BE18," - ")</f>
        <v>-0.25813285948605796</v>
      </c>
      <c r="J18" s="460">
        <f>IF(ISNUMBER((('Resol  Asuntos'!D18/NºAsuntos!G18)-Datos!BF18)/Datos!BF18),(('Resol  Asuntos'!D18/NºAsuntos!G18)-Datos!BF18)/Datos!BF18," - ")</f>
        <v>-0.25012648621300282</v>
      </c>
      <c r="K18" s="461">
        <f>IF(ISNUMBER((((NºAsuntos!C18+NºAsuntos!E18)/NºAsuntos!G18)-Datos!BG18)/Datos!BG18),(((NºAsuntos!C18+NºAsuntos!E18)/NºAsuntos!G18)-Datos!BG18)/Datos!BG18," - ")</f>
        <v>-0.12944842448599225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0.155668358714044</v>
      </c>
      <c r="C19" s="852">
        <f>IF(ISNUMBER(
   IF(Criterios!B14="SI",(Datos!J19-Datos!T19)/Datos!T19,(Datos!J19+Datos!AD19-(Datos!T19+Datos!AL19))/(Datos!T19+Datos!AL19))
     ),IF(Criterios!B14="SI",(Datos!J19-Datos!T19)/Datos!T19,(Datos!J19+Datos!AD19-(Datos!T19+Datos!AL19))/(Datos!T19+Datos!AL19))," - ")</f>
        <v>0.14929714008725156</v>
      </c>
      <c r="D19" s="852">
        <f>IF(ISNUMBER(
   IF(Criterios!B14="SI",(Datos!K19-Datos!U19)/Datos!U19,(Datos!K19+Datos!AE19-(Datos!U19+Datos!AM19))/(Datos!U19+Datos!AM19))
     ),IF(Criterios!B14="SI",(Datos!K19-Datos!U19)/Datos!U19,(Datos!K19+Datos!AE19-(Datos!U19+Datos!AM19))/(Datos!U19+Datos!AM19))," - ")</f>
        <v>0.13759328358208955</v>
      </c>
      <c r="E19" s="852">
        <f>IF(ISNUMBER(
   IF(Criterios!B14="SI",(Datos!L19-Datos!V19)/Datos!V19,(Datos!L19+Datos!AF19-(Datos!V19+Datos!AN19))/(Datos!V19+Datos!AN19))
     ),IF(Criterios!B14="SI",(Datos!L19-Datos!V19)/Datos!V19,(Datos!L19+Datos!AF19-(Datos!V19+Datos!AN19))/(Datos!V19+Datos!AN19))," - ")</f>
        <v>0.20688172043010752</v>
      </c>
      <c r="F19" s="853">
        <f>IF(ISNUMBER((Datos!M19-Datos!W19)/Datos!W19),(Datos!M19-Datos!W19)/Datos!W19," - ")</f>
        <v>-3.7313432835820892E-2</v>
      </c>
      <c r="G19" s="854">
        <f>IF(ISNUMBER((Datos!N19-Datos!X19)/Datos!X19),(Datos!N19-Datos!X19)/Datos!X19," - ")</f>
        <v>0.19191919191919191</v>
      </c>
      <c r="H19" s="854">
        <f>IF(ISNUMBER(((NºAsuntos!G19/NºAsuntos!E19)-Datos!BD19)/Datos!BD19),((NºAsuntos!G19/NºAsuntos!E19)-Datos!BD19)/Datos!BD19," - ")</f>
        <v>-1.0183490497743117E-2</v>
      </c>
      <c r="I19" s="854">
        <f>IF(ISNUMBER(((NºAsuntos!I19/NºAsuntos!G19)-Datos!BE19)/Datos!BE19),((NºAsuntos!I19/NºAsuntos!G19)-Datos!BE19)/Datos!BE19," - ")</f>
        <v>6.0907916606047691E-2</v>
      </c>
      <c r="J19" s="854">
        <f>IF(ISNUMBER((('Resol  Asuntos'!D19/NºAsuntos!G19)-Datos!BF19)/Datos!BF19),(('Resol  Asuntos'!D19/NºAsuntos!G19)-Datos!BF19)/Datos!BF19," - ")</f>
        <v>-0.15375153751537518</v>
      </c>
      <c r="K19" s="854">
        <f>IF(ISNUMBER((((NºAsuntos!C19+NºAsuntos!E19)/NºAsuntos!G19)-Datos!BG19)/Datos!BG19),(((NºAsuntos!C19+NºAsuntos!E19)/NºAsuntos!G19)-Datos!BG19)/Datos!BG19," - ")</f>
        <v>1.3278964955901957E-2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-5.6938593131622625E-2</v>
      </c>
      <c r="C20" s="799">
        <f>IF(ISNUMBER(
   IF(J_V="SI",(Datos!J20-Datos!T20)/Datos!T20,(Datos!J20+Datos!Z20-(Datos!T20+Datos!AH20))/(Datos!T20+Datos!AH20))
     ),IF(J_V="SI",(Datos!J20-Datos!T20)/Datos!T20,(Datos!J20+Datos!Z20-(Datos!T20+Datos!AH20))/(Datos!T20+Datos!AH20))," - ")</f>
        <v>-0.22212964505915681</v>
      </c>
      <c r="D20" s="799">
        <f>IF(ISNUMBER(
   IF(J_V="SI",(Datos!K20-Datos!U20)/Datos!U20,(Datos!K20+Datos!AA20-(Datos!U20+Datos!AI20))/(Datos!U20+Datos!AI20))
     ),IF(J_V="SI",(Datos!K20-Datos!U20)/Datos!U20,(Datos!K20+Datos!AA20-(Datos!U20+Datos!AI20))/(Datos!U20+Datos!AI20))," - ")</f>
        <v>-3.441024660676735E-2</v>
      </c>
      <c r="E20" s="799">
        <f>IF(ISNUMBER(
   IF(J_V="SI",(Datos!L20-Datos!V20)/Datos!V20,(Datos!L20+Datos!AB20-(Datos!V20+Datos!AJ20))/(Datos!V20+Datos!AJ20))
     ),IF(J_V="SI",(Datos!L20-Datos!V20)/Datos!V20,(Datos!L20+Datos!AB20-(Datos!V20+Datos!AJ20))/(Datos!V20+Datos!AJ20))," - ")</f>
        <v>-0.16310005783689993</v>
      </c>
      <c r="F20" s="800">
        <f>IF(ISNUMBER((Datos!M20-Datos!W20)/Datos!W20),(Datos!M20-Datos!W20)/Datos!W20," - ")</f>
        <v>5.1191526919682262E-2</v>
      </c>
      <c r="G20" s="801">
        <f>IF(ISNUMBER((Datos!N20-Datos!X20)/Datos!X20),(Datos!N20-Datos!X20)/Datos!X20," - ")</f>
        <v>4.6100818612666954E-2</v>
      </c>
      <c r="H20" s="802">
        <f>IF(ISNUMBER((Tasas!B20-Datos!BD20)/Datos!BD20),(Tasas!B20-Datos!BD20)/Datos!BD20," - ")</f>
        <v>0.2413247879418999</v>
      </c>
      <c r="I20" s="803">
        <f>IF(ISNUMBER((Tasas!C20-Datos!BE20)/Datos!BE20),(Tasas!C20-Datos!BE20)/Datos!BE20," - ")</f>
        <v>-0.13327586666894153</v>
      </c>
      <c r="J20" s="804">
        <f>IF(ISNUMBER((Tasas!D20-Datos!BF20)/Datos!BF20),(Tasas!D20-Datos!BF20)/Datos!BF20," - ")</f>
        <v>-0.30510248981515303</v>
      </c>
      <c r="K20" s="804">
        <f>IF(ISNUMBER((Tasas!E20-Datos!BG20)/Datos!BG20),(Tasas!E20-Datos!BG20)/Datos!BG20," - ")</f>
        <v>-9.754242450583632E-2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UD8HvpjeUDyUqc9ee7gQVlqkmK4V7hUUP4BvoQ5BiZKLx5ggtA47KD0p4Qf8NHqSPq4MEsLflUGBltt6iMraQ==" saltValue="Kn04B5/d/5YD/fyw59Lve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GANDIA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1.1382185168933743</v>
      </c>
      <c r="C9" s="442">
        <f>IF(ISNUMBER(NºAsuntos!I9/NºAsuntos!G9),NºAsuntos!I9/NºAsuntos!G9," - ")</f>
        <v>1.6700077101002313</v>
      </c>
      <c r="D9" s="443">
        <f>IF(ISNUMBER('Resol  Asuntos'!D9/NºAsuntos!G9),'Resol  Asuntos'!D9/NºAsuntos!G9," - ")</f>
        <v>0.2555898226676947</v>
      </c>
      <c r="E9" s="444">
        <f>IF(ISNUMBER((NºAsuntos!C9+NºAsuntos!E9)/NºAsuntos!G9),(NºAsuntos!C9+NºAsuntos!E9)/NºAsuntos!G9," - ")</f>
        <v>2.6356977640709327</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5.3888888888888893</v>
      </c>
      <c r="D10" s="443">
        <f>IF(ISNUMBER('Resol  Asuntos'!D10/NºAsuntos!G10),'Resol  Asuntos'!D10/NºAsuntos!G10," - ")</f>
        <v>0.66666666666666663</v>
      </c>
      <c r="E10" s="444">
        <f>IF(ISNUMBER((NºAsuntos!C10+NºAsuntos!E10)/NºAsuntos!G10),(NºAsuntos!C10+NºAsuntos!E10)/NºAsuntos!G10," - ")</f>
        <v>6.3888888888888893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1.1371353939921638</v>
      </c>
      <c r="C13" s="856">
        <f>IF(ISNUMBER(NºAsuntos!I13/NºAsuntos!G13),NºAsuntos!I13/NºAsuntos!G13," - ")</f>
        <v>1.6956355283307809</v>
      </c>
      <c r="D13" s="857">
        <f>IF(ISNUMBER('Resol  Asuntos'!D13/NºAsuntos!G13),'Resol  Asuntos'!D13/NºAsuntos!G13," - ")</f>
        <v>0.25842266462480856</v>
      </c>
      <c r="E13" s="858">
        <f>IF(ISNUMBER((NºAsuntos!C13+NºAsuntos!E13)/NºAsuntos!G13),(NºAsuntos!C13+NºAsuntos!E13)/NºAsuntos!G13," - ")</f>
        <v>2.6615620214395102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1.0515513126491647</v>
      </c>
      <c r="C15" s="442">
        <f>IF(ISNUMBER(NºAsuntos!I15/NºAsuntos!G15),NºAsuntos!I15/NºAsuntos!G15," - ")</f>
        <v>1.2147072174307763</v>
      </c>
      <c r="D15" s="443">
        <f>IF(ISNUMBER('Resol  Asuntos'!D15/NºAsuntos!G15),'Resol  Asuntos'!D15/NºAsuntos!G15," - ")</f>
        <v>0.20199727644121651</v>
      </c>
      <c r="E15" s="444">
        <f>IF(ISNUMBER((NºAsuntos!C15+NºAsuntos!E15)/NºAsuntos!G15),(NºAsuntos!C15+NºAsuntos!E15)/NºAsuntos!G15," - ")</f>
        <v>2.1538810712664547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0.85507246376811596</v>
      </c>
      <c r="C18" s="442">
        <f>IF(ISNUMBER(NºAsuntos!I18/NºAsuntos!G18),NºAsuntos!I18/NºAsuntos!G18," - ")</f>
        <v>0.55084745762711862</v>
      </c>
      <c r="D18" s="443">
        <f>IF(ISNUMBER('Resol  Asuntos'!D18/NºAsuntos!G18),'Resol  Asuntos'!D18/NºAsuntos!G18," - ")</f>
        <v>0.30084745762711862</v>
      </c>
      <c r="E18" s="444">
        <f>IF(ISNUMBER((NºAsuntos!C18+NºAsuntos!E18)/NºAsuntos!G18),(NºAsuntos!C18+NºAsuntos!E18)/NºAsuntos!G18," - ")</f>
        <v>1.5169491525423728</v>
      </c>
      <c r="G18" s="462"/>
    </row>
    <row r="19" spans="1:7" ht="14.25" thickTop="1" thickBot="1">
      <c r="A19" s="845" t="str">
        <f>Datos!A19</f>
        <v>TOTAL</v>
      </c>
      <c r="B19" s="855">
        <f>IF(ISNUMBER(NºAsuntos!G19/NºAsuntos!E19),NºAsuntos!G19/NºAsuntos!E19," - ")</f>
        <v>1.0286798819063687</v>
      </c>
      <c r="C19" s="856">
        <f>IF(ISNUMBER(NºAsuntos!I19/NºAsuntos!G19),NºAsuntos!I19/NºAsuntos!G19," - ")</f>
        <v>1.1504715047150471</v>
      </c>
      <c r="D19" s="859">
        <f>IF(ISNUMBER('Resol  Asuntos'!D19/NºAsuntos!G19),'Resol  Asuntos'!D19/NºAsuntos!G19," - ")</f>
        <v>0.2115621156211562</v>
      </c>
      <c r="E19" s="858">
        <f>IF(ISNUMBER((NºAsuntos!C19+NºAsuntos!E19)/NºAsuntos!G19),(NºAsuntos!C19+NºAsuntos!E19)/NºAsuntos!G19," - ")</f>
        <v>2.092250922509225</v>
      </c>
      <c r="G19" s="462"/>
    </row>
    <row r="20" spans="1:7" ht="15.75" customHeight="1" thickTop="1" thickBot="1">
      <c r="A20" s="790" t="str">
        <f>Datos!A20</f>
        <v>TOTAL JURISDICCIONES</v>
      </c>
      <c r="B20" s="805">
        <f>IF(ISNUMBER(NºAsuntos!G20/NºAsuntos!E20),NºAsuntos!G20/NºAsuntos!E20," - ")</f>
        <v>1.0820479862896315</v>
      </c>
      <c r="C20" s="806">
        <f>IF(ISNUMBER(NºAsuntos!I20/NºAsuntos!G20),NºAsuntos!I20/NºAsuntos!G20," - ")</f>
        <v>1.43238962581667</v>
      </c>
      <c r="D20" s="807">
        <f>IF(ISNUMBER('Resol  Asuntos'!D20/NºAsuntos!G20),'Resol  Asuntos'!D20/NºAsuntos!G20," - ")</f>
        <v>0.23579489210057414</v>
      </c>
      <c r="E20" s="808">
        <f>IF(ISNUMBER((NºAsuntos!C20+NºAsuntos!E20)/NºAsuntos!G20),(NºAsuntos!C20+NºAsuntos!E20)/NºAsuntos!G20," - ")</f>
        <v>2.3866561077014454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3yg4sgxakFVu7UMmcFO7iMHna9h8ohhTWJmjpgRp7LcR+xWc7EVMUTim7eZQvUxBIn34uyPQbzQdPg+Y9quNA==" saltValue="wFW/234qKAML2/dYboZOc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GANDIA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621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733</v>
      </c>
      <c r="Y9" s="333">
        <f>SUM(W9:X9)</f>
        <v>733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7811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663</v>
      </c>
      <c r="AJ9" s="228" t="str">
        <f>IF(ISNUMBER(Datos!BW9),Datos!BW9," - ")</f>
        <v xml:space="preserve"> - </v>
      </c>
      <c r="AK9" s="227" t="str">
        <f>IF(ISNUMBER(Datos!BX9),Datos!BX9," - ")</f>
        <v xml:space="preserve"> - </v>
      </c>
      <c r="AL9" s="242">
        <f>IF(ISNUMBER(NºAsuntos!G9/NºAsuntos!E9),NºAsuntos!G9/NºAsuntos!E9," - ")</f>
        <v>1.1382185168933743</v>
      </c>
      <c r="AM9" s="259">
        <f>IF(ISNUMBER(((NºAsuntos!I9/NºAsuntos!G9)*11)/factor_trimestre),((NºAsuntos!I9/NºAsuntos!G9)*11)/factor_trimestre," - ")</f>
        <v>5.0100231303006941</v>
      </c>
      <c r="AN9" s="243">
        <f>IF(ISNUMBER('Resol  Asuntos'!D9/NºAsuntos!G9),'Resol  Asuntos'!D9/NºAsuntos!G9," - ")</f>
        <v>0.2555898226676947</v>
      </c>
      <c r="AO9" s="244">
        <f>IF(ISNUMBER((NºAsuntos!C9+NºAsuntos!E9)/NºAsuntos!G9),(NºAsuntos!C9+NºAsuntos!E9)/NºAsuntos!G9," - ")</f>
        <v>2.6356977640709327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97</v>
      </c>
      <c r="G10" s="332">
        <f>IF(ISNUMBER(Datos!I10),Datos!I10," - ")</f>
        <v>97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97</v>
      </c>
      <c r="AB10" s="333">
        <f>IF(ISNUMBER(Datos!R10),Datos!R10," - ")</f>
        <v>81</v>
      </c>
      <c r="AC10" s="333">
        <f t="shared" ref="AC10:AC12" si="1">IF(ISNUMBER(AA10+AB10),AA10+AB10," - ")</f>
        <v>178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16.166666666666668</v>
      </c>
      <c r="AN10" s="243">
        <f>IF(ISNUMBER('Resol  Asuntos'!D10/NºAsuntos!G10),'Resol  Asuntos'!D10/NºAsuntos!G10," - ")</f>
        <v>0.66666666666666663</v>
      </c>
      <c r="AO10" s="244">
        <f>IF(ISNUMBER((NºAsuntos!C10+NºAsuntos!E10)/NºAsuntos!G10),(NºAsuntos!C10+NºAsuntos!E10)/NºAsuntos!G10," - ")</f>
        <v>6.3888888888888893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97</v>
      </c>
      <c r="G13" s="863">
        <f t="shared" si="3"/>
        <v>97</v>
      </c>
      <c r="H13" s="862">
        <f t="shared" si="3"/>
        <v>0</v>
      </c>
      <c r="I13" s="864">
        <f t="shared" si="3"/>
        <v>0</v>
      </c>
      <c r="J13" s="864">
        <f t="shared" si="3"/>
        <v>0</v>
      </c>
      <c r="K13" s="864">
        <f t="shared" si="3"/>
        <v>0</v>
      </c>
      <c r="L13" s="864">
        <f t="shared" si="3"/>
        <v>622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18</v>
      </c>
      <c r="X13" s="864">
        <f t="shared" si="4"/>
        <v>733</v>
      </c>
      <c r="Y13" s="865">
        <f t="shared" si="4"/>
        <v>751</v>
      </c>
      <c r="Z13" s="865">
        <f t="shared" si="4"/>
        <v>0</v>
      </c>
      <c r="AA13" s="865">
        <f t="shared" si="4"/>
        <v>97</v>
      </c>
      <c r="AB13" s="865">
        <f t="shared" si="4"/>
        <v>7892</v>
      </c>
      <c r="AC13" s="865">
        <f t="shared" si="4"/>
        <v>178</v>
      </c>
      <c r="AD13" s="865">
        <f t="shared" si="4"/>
        <v>0</v>
      </c>
      <c r="AE13" s="869">
        <f t="shared" si="4"/>
        <v>0</v>
      </c>
      <c r="AF13" s="862">
        <f t="shared" si="4"/>
        <v>0</v>
      </c>
      <c r="AG13" s="870">
        <f t="shared" si="4"/>
        <v>0</v>
      </c>
      <c r="AH13" s="867">
        <f t="shared" si="4"/>
        <v>0</v>
      </c>
      <c r="AI13" s="862">
        <f t="shared" si="4"/>
        <v>675</v>
      </c>
      <c r="AJ13" s="864">
        <f t="shared" si="4"/>
        <v>0</v>
      </c>
      <c r="AK13" s="867">
        <f>SUBTOTAL(9,AK9:AK12)</f>
        <v>0</v>
      </c>
      <c r="AL13" s="871">
        <f>IF(ISNUMBER(NºAsuntos!G13/NºAsuntos!E13),NºAsuntos!G13/NºAsuntos!E13," - ")</f>
        <v>1.1371353939921638</v>
      </c>
      <c r="AM13" s="871">
        <f>IF(ISNUMBER(((NºAsuntos!I13/NºAsuntos!G13)*11)/factor_trimestre),((NºAsuntos!I13/NºAsuntos!G13)*11)/factor_trimestre," - ")</f>
        <v>5.0869065849923434</v>
      </c>
      <c r="AN13" s="872">
        <f>IF(ISNUMBER('Resol  Asuntos'!D13/NºAsuntos!G13),'Resol  Asuntos'!D13/NºAsuntos!G13," - ")</f>
        <v>0.25842266462480856</v>
      </c>
      <c r="AO13" s="873">
        <f>IF(ISNUMBER((NºAsuntos!C13+NºAsuntos!E13)/NºAsuntos!G13),(NºAsuntos!C13+NºAsuntos!E13)/NºAsuntos!G13," - ")</f>
        <v>2.6615620214395102</v>
      </c>
      <c r="AP13" s="874" t="str">
        <f t="shared" si="2"/>
        <v xml:space="preserve"> - </v>
      </c>
      <c r="AQ13" s="874">
        <f>IF(ISNUMBER((H13-W13+K13)/(F13)),(H13-W13+K13)/(F13)," - ")</f>
        <v>-0.18556701030927836</v>
      </c>
      <c r="AR13" s="875">
        <f>IF(ISNUMBER((Datos!P13-Datos!Q13)/(Datos!R13-Datos!P13+Datos!Q13)),(Datos!P13-Datos!Q13)/(Datos!R13-Datos!P13+Datos!Q13)," - ")</f>
        <v>-1.386979882544046E-2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2784</v>
      </c>
      <c r="G15" s="332">
        <f>IF(ISNUMBER(IF(D_I="SI",Datos!I15,Datos!I15+Datos!AC15)),IF(D_I="SI",Datos!I15,Datos!I15+Datos!AC15)," - ")</f>
        <v>2650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2203</v>
      </c>
      <c r="X15" s="225">
        <f>IF(ISNUMBER(Datos!Q15),Datos!Q15," - ")</f>
        <v>150</v>
      </c>
      <c r="Y15" s="333">
        <f>SUM(W15)</f>
        <v>2203</v>
      </c>
      <c r="Z15" s="334" t="str">
        <f>IF(ISNUMBER(Datos!CC15),Datos!CC15," - ")</f>
        <v xml:space="preserve"> - </v>
      </c>
      <c r="AA15" s="331">
        <f>IF(ISNUMBER(IF(D_I="SI",Datos!L15,Datos!L15+Datos!AF15)),IF(D_I="SI",Datos!L15,Datos!L15+Datos!AF15)," - ")</f>
        <v>2676</v>
      </c>
      <c r="AB15" s="333">
        <f>IF(ISNUMBER(Datos!R15),Datos!R15," - ")</f>
        <v>361</v>
      </c>
      <c r="AC15" s="333">
        <f t="shared" ref="AC15:AC18" si="6">IF(ISNUMBER(AA15+AB15),AA15+AB15," - ")</f>
        <v>3037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445</v>
      </c>
      <c r="AJ15" s="230" t="str">
        <f>IF(ISNUMBER(Datos!BW15),Datos!BW15," - ")</f>
        <v xml:space="preserve"> - </v>
      </c>
      <c r="AK15" s="231" t="str">
        <f>IF(ISNUMBER(Datos!BX15),Datos!BX15," - ")</f>
        <v xml:space="preserve"> - </v>
      </c>
      <c r="AL15" s="242">
        <f>IF(ISNUMBER(NºAsuntos!G15/NºAsuntos!E15),NºAsuntos!G15/NºAsuntos!E15," - ")</f>
        <v>1.0515513126491647</v>
      </c>
      <c r="AM15" s="259">
        <f>IF(ISNUMBER(((NºAsuntos!I15/NºAsuntos!G15)*11)/factor_trimestre),((NºAsuntos!I15/NºAsuntos!G15)*11)/factor_trimestre," - ")</f>
        <v>3.6441216522923288</v>
      </c>
      <c r="AN15" s="243">
        <f>IF(ISNUMBER('Resol  Asuntos'!D15/NºAsuntos!G15),'Resol  Asuntos'!D15/NºAsuntos!G15," - ")</f>
        <v>0.20199727644121651</v>
      </c>
      <c r="AO15" s="244">
        <f>IF(ISNUMBER((NºAsuntos!C15+NºAsuntos!E15)/NºAsuntos!G15),(NºAsuntos!C15+NºAsuntos!E15)/NºAsuntos!G15," - ")</f>
        <v>2.1538810712664547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82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236</v>
      </c>
      <c r="X18" s="225">
        <f>IF(ISNUMBER(Datos!Q18),Datos!Q18," - ")</f>
        <v>17</v>
      </c>
      <c r="Y18" s="333">
        <f t="shared" si="9"/>
        <v>253</v>
      </c>
      <c r="Z18" s="334" t="str">
        <f>IF(ISNUMBER(Datos!CC18),Datos!CC18," - ")</f>
        <v xml:space="preserve"> - </v>
      </c>
      <c r="AA18" s="331">
        <f>IF(ISNUMBER(Datos!L18),Datos!L18,"-")</f>
        <v>130</v>
      </c>
      <c r="AB18" s="333">
        <f>IF(ISNUMBER(Datos!R18),Datos!R18," - ")</f>
        <v>15</v>
      </c>
      <c r="AC18" s="333">
        <f t="shared" si="6"/>
        <v>145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71</v>
      </c>
      <c r="AJ18" s="230" t="str">
        <f>IF(ISNUMBER(Datos!BW18),Datos!BW18," - ")</f>
        <v xml:space="preserve"> - </v>
      </c>
      <c r="AK18" s="231" t="str">
        <f>IF(ISNUMBER(Datos!BX18),Datos!BX18," - ")</f>
        <v xml:space="preserve"> - </v>
      </c>
      <c r="AL18" s="242">
        <f>IF(ISNUMBER(NºAsuntos!G18/NºAsuntos!E18),NºAsuntos!G18/NºAsuntos!E18," - ")</f>
        <v>0.85507246376811596</v>
      </c>
      <c r="AM18" s="259">
        <f>IF(ISNUMBER(((NºAsuntos!I18/NºAsuntos!G18)*11)/factor_trimestre),((NºAsuntos!I18/NºAsuntos!G18)*11)/factor_trimestre," - ")</f>
        <v>1.6525423728813557</v>
      </c>
      <c r="AN18" s="243">
        <f>IF(ISNUMBER('Resol  Asuntos'!D18/NºAsuntos!G18),'Resol  Asuntos'!D18/NºAsuntos!G18," - ")</f>
        <v>0.30084745762711862</v>
      </c>
      <c r="AO18" s="244">
        <f>IF(ISNUMBER((NºAsuntos!C18+NºAsuntos!E18)/NºAsuntos!G18),(NºAsuntos!C18+NºAsuntos!E18)/NºAsuntos!G18," - ")</f>
        <v>1.5169491525423728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2784</v>
      </c>
      <c r="G19" s="863">
        <f>SUBTOTAL(9,G15:G18)</f>
        <v>2732</v>
      </c>
      <c r="H19" s="862">
        <f t="shared" ref="H19:O19" si="12">SUBTOTAL(9,H14:H18)</f>
        <v>0</v>
      </c>
      <c r="I19" s="864">
        <f t="shared" si="12"/>
        <v>0</v>
      </c>
      <c r="J19" s="864">
        <f t="shared" si="12"/>
        <v>0</v>
      </c>
      <c r="K19" s="864">
        <f t="shared" si="12"/>
        <v>0</v>
      </c>
      <c r="L19" s="864">
        <f t="shared" si="12"/>
        <v>140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2439</v>
      </c>
      <c r="X19" s="864">
        <f t="shared" si="13"/>
        <v>167</v>
      </c>
      <c r="Y19" s="865">
        <f t="shared" si="13"/>
        <v>2456</v>
      </c>
      <c r="Z19" s="865">
        <f t="shared" si="13"/>
        <v>0</v>
      </c>
      <c r="AA19" s="865">
        <f t="shared" si="13"/>
        <v>2806</v>
      </c>
      <c r="AB19" s="865">
        <f t="shared" si="13"/>
        <v>376</v>
      </c>
      <c r="AC19" s="865">
        <f t="shared" si="13"/>
        <v>3182</v>
      </c>
      <c r="AD19" s="865">
        <f t="shared" si="13"/>
        <v>0</v>
      </c>
      <c r="AE19" s="869">
        <f t="shared" si="13"/>
        <v>0</v>
      </c>
      <c r="AF19" s="862">
        <f t="shared" si="13"/>
        <v>0</v>
      </c>
      <c r="AG19" s="870">
        <f t="shared" si="13"/>
        <v>0</v>
      </c>
      <c r="AH19" s="867">
        <f t="shared" si="13"/>
        <v>0</v>
      </c>
      <c r="AI19" s="862">
        <f t="shared" si="13"/>
        <v>516</v>
      </c>
      <c r="AJ19" s="864">
        <f t="shared" si="13"/>
        <v>0</v>
      </c>
      <c r="AK19" s="867">
        <f t="shared" si="13"/>
        <v>0</v>
      </c>
      <c r="AL19" s="871">
        <f>IF(ISNUMBER(NºAsuntos!G19/NºAsuntos!E19),NºAsuntos!G19/NºAsuntos!E19," - ")</f>
        <v>1.0286798819063687</v>
      </c>
      <c r="AM19" s="871">
        <f>IF(ISNUMBER(((NºAsuntos!I19/NºAsuntos!G19)*11)/factor_trimestre),((NºAsuntos!I19/NºAsuntos!G19)*11)/factor_trimestre," - ")</f>
        <v>3.4514145141451418</v>
      </c>
      <c r="AN19" s="872">
        <f>IF(ISNUMBER('Resol  Asuntos'!D19/NºAsuntos!G19),'Resol  Asuntos'!D19/NºAsuntos!G19," - ")</f>
        <v>0.2115621156211562</v>
      </c>
      <c r="AO19" s="873">
        <f>IF(ISNUMBER((NºAsuntos!C19+NºAsuntos!E19)/NºAsuntos!G19),(NºAsuntos!C19+NºAsuntos!E19)/NºAsuntos!G19," - ")</f>
        <v>2.092250922509225</v>
      </c>
      <c r="AP19" s="874" t="str">
        <f t="shared" si="2"/>
        <v xml:space="preserve"> - </v>
      </c>
      <c r="AQ19" s="874">
        <f>IF(ISNUMBER((H19-W19+K19)/(F19)),(H19-W19+K19)/(F19)," - ")</f>
        <v>-0.87607758620689657</v>
      </c>
      <c r="AR19" s="875">
        <f>IF(ISNUMBER((Datos!P19-Datos!Q19)/(Datos!R19-Datos!P19+Datos!Q19)),(Datos!P19-Datos!Q19)/(Datos!R19-Datos!P19+Datos!Q19)," - ")</f>
        <v>-6.699751861042183E-2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11</v>
      </c>
      <c r="F20" s="817">
        <f t="shared" si="15"/>
        <v>2881</v>
      </c>
      <c r="G20" s="818">
        <f t="shared" si="15"/>
        <v>2829</v>
      </c>
      <c r="H20" s="817">
        <f t="shared" si="15"/>
        <v>0</v>
      </c>
      <c r="I20" s="819">
        <f t="shared" si="15"/>
        <v>0</v>
      </c>
      <c r="J20" s="819">
        <f t="shared" si="15"/>
        <v>0</v>
      </c>
      <c r="K20" s="878">
        <f t="shared" si="15"/>
        <v>0</v>
      </c>
      <c r="L20" s="819">
        <f t="shared" si="15"/>
        <v>762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2457</v>
      </c>
      <c r="X20" s="818">
        <f t="shared" si="16"/>
        <v>900</v>
      </c>
      <c r="Y20" s="825">
        <f t="shared" si="16"/>
        <v>3207</v>
      </c>
      <c r="Z20" s="825">
        <f t="shared" si="16"/>
        <v>0</v>
      </c>
      <c r="AA20" s="825">
        <f t="shared" si="16"/>
        <v>2903</v>
      </c>
      <c r="AB20" s="825">
        <f t="shared" si="16"/>
        <v>8268</v>
      </c>
      <c r="AC20" s="825">
        <f t="shared" si="16"/>
        <v>3360</v>
      </c>
      <c r="AD20" s="825">
        <f t="shared" si="16"/>
        <v>0</v>
      </c>
      <c r="AE20" s="827">
        <f t="shared" si="16"/>
        <v>0</v>
      </c>
      <c r="AF20" s="828">
        <f t="shared" si="16"/>
        <v>0</v>
      </c>
      <c r="AG20" s="829">
        <f t="shared" si="16"/>
        <v>0</v>
      </c>
      <c r="AH20" s="827">
        <f t="shared" si="16"/>
        <v>0</v>
      </c>
      <c r="AI20" s="817">
        <f t="shared" si="16"/>
        <v>1191</v>
      </c>
      <c r="AJ20" s="817">
        <f t="shared" si="16"/>
        <v>0</v>
      </c>
      <c r="AK20" s="827">
        <f t="shared" si="16"/>
        <v>0</v>
      </c>
      <c r="AL20" s="881">
        <f>IF(ISNUMBER(NºAsuntos!G20/NºAsuntos!E20),NºAsuntos!G20/NºAsuntos!E20," - ")</f>
        <v>1.0820479862896315</v>
      </c>
      <c r="AM20" s="882">
        <f>IF(ISNUMBER(((NºAsuntos!I20/NºAsuntos!G20)*11)/factor_trimestre),((NºAsuntos!I20/NºAsuntos!G20)*11)/factor_trimestre," - ")</f>
        <v>4.2971688774500105</v>
      </c>
      <c r="AN20" s="882">
        <f>IF(ISNUMBER('Resol  Asuntos'!D20/NºAsuntos!G20),'Resol  Asuntos'!D20/NºAsuntos!G20," - ")</f>
        <v>0.23579489210057414</v>
      </c>
      <c r="AO20" s="883">
        <f>IF(ISNUMBER((NºAsuntos!C20+NºAsuntos!E20)/NºAsuntos!G20),(NºAsuntos!C20+NºAsuntos!E20)/NºAsuntos!G20," - ")</f>
        <v>2.3866561077014454</v>
      </c>
      <c r="AP20" s="884" t="str">
        <f t="shared" si="2"/>
        <v xml:space="preserve"> - </v>
      </c>
      <c r="AQ20" s="885">
        <f>IF(OR(ISNUMBER(FIND("01",Criterios!A8,1)),ISNUMBER(FIND("02",Criterios!A8,1)),ISNUMBER(FIND("03",Criterios!A8,1)),ISNUMBER(FIND("04",Criterios!A8,1))),(I20-W20+K20)/(F20-K20),(H20-W20+K20)/(F20-K20))</f>
        <v>-0.85282887886150638</v>
      </c>
      <c r="AR20" s="886">
        <f>IF(ISNUMBER((Datos!P20-Datos!Q20)/(Datos!R20-Datos!P20+Datos!Q20)),(Datos!P20-Datos!Q20)/(Datos!R20-Datos!P20+Datos!Q20)," - ")</f>
        <v>-1.6416845110635261E-2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1131.5999999999999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2.6583202716502514</v>
      </c>
      <c r="F22" s="251">
        <f>IF(ISNUMBER(STDEV(F8:F19)),STDEV(F8:F19),"-")</f>
        <v>1551.3401733125245</v>
      </c>
      <c r="G22" s="252">
        <f>IF(ISNUMBER(STDEV(G8:G19)),STDEV(G8:G19),"-")</f>
        <v>1423.8392816606795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1227.6802108041002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289.48436918079011</v>
      </c>
      <c r="AJ22" s="251">
        <f t="shared" si="20"/>
        <v>0</v>
      </c>
      <c r="AK22" s="253">
        <f t="shared" si="20"/>
        <v>0</v>
      </c>
      <c r="AL22" s="248">
        <f t="shared" si="20"/>
        <v>0.10487939455107022</v>
      </c>
      <c r="AM22" s="249">
        <f t="shared" si="20"/>
        <v>5.2145555082316033</v>
      </c>
      <c r="AN22" s="249">
        <f t="shared" si="20"/>
        <v>0.1755363228317689</v>
      </c>
      <c r="AO22" s="250">
        <f t="shared" si="20"/>
        <v>1.7561680879686004</v>
      </c>
      <c r="AP22" s="290" t="str">
        <f t="shared" si="20"/>
        <v>-</v>
      </c>
      <c r="AQ22" s="291">
        <f t="shared" si="20"/>
        <v>0.48826471069823391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nCZozdSVFY5BxxK+j/vUAlcRdTmWmMUZRxAZKtFhY7NyAKFrH1cwfuklghIYHEfP4ftO9p2KaCXM6eiGuq9oA==" saltValue="upiT8uM2GrShpVIGIgG0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GANDIA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0.14113597246127366</v>
      </c>
      <c r="I9" s="349">
        <f>IF(ISNUMBER((Tasas!C9-Datos!BE9)/Datos!BE9),(Tasas!C9-Datos!BE9)/Datos!BE9," - ")</f>
        <v>-0.18013904907773914</v>
      </c>
      <c r="J9" s="348">
        <f>IF(ISNUMBER((Tasas!D9-Datos!BF9)/Datos!BF9),(Tasas!D9-Datos!BF9)/Datos!BF9," - ")</f>
        <v>-0.3607119643986279</v>
      </c>
      <c r="K9" s="350">
        <f>IF(ISNUMBER((Tasas!E9-Datos!BG9)/Datos!BG9),(Tasas!E9-Datos!BG9)/Datos!BG9," - ")</f>
        <v>-0.13212061783713855</v>
      </c>
      <c r="M9" t="e">
        <f>IF(Monitorios="SI",Datos!CE9,0)</f>
        <v>#REF!</v>
      </c>
      <c r="N9" t="e">
        <f>IF(Monitorios="SI",Datos!CF9,0)</f>
        <v>#REF!</v>
      </c>
      <c r="O9" t="e">
        <f>IF(Monitorios="SI",Datos!CG9,0)</f>
        <v>#REF!</v>
      </c>
      <c r="P9" t="e">
        <f>IF(Monitorios="SI",Datos!CH9,0)</f>
        <v>#REF!</v>
      </c>
      <c r="Q9">
        <f>IF(J_V="SI",0,Datos!AG9)</f>
        <v>198</v>
      </c>
      <c r="R9">
        <f>IF(J_V="SI",0,Datos!AH9)</f>
        <v>138</v>
      </c>
      <c r="S9">
        <f>IF(J_V="SI",0,Datos!AI9)</f>
        <v>175</v>
      </c>
      <c r="T9">
        <f>IF(J_V="SI",0,Datos!AJ9)</f>
        <v>161</v>
      </c>
    </row>
    <row r="10" spans="2:20" ht="14.25">
      <c r="B10" s="274" t="s">
        <v>247</v>
      </c>
      <c r="C10" s="7" t="str">
        <f>Datos!A10</f>
        <v>Sección De Violencia sobre la Mujer del TI</v>
      </c>
      <c r="D10" s="351">
        <f>IF(ISNUMBER((Datos!I10-Datos!S10)/Datos!S10),(Datos!I10-Datos!S10)/Datos!S10," - ")</f>
        <v>0.25974025974025972</v>
      </c>
      <c r="E10" s="347">
        <f>IF(ISNUMBER((Datos!J10-Datos!T10)/Datos!T10),(Datos!J10-Datos!T10)/Datos!T10," - ")</f>
        <v>-0.55000000000000004</v>
      </c>
      <c r="F10" s="347">
        <f>IF(ISNUMBER((Datos!K10-Datos!U10)/Datos!U10),(Datos!K10-Datos!U10)/Datos!U10," - ")</f>
        <v>-0.35714285714285715</v>
      </c>
      <c r="G10" s="348">
        <f>IF(ISNUMBER((Datos!L10-Datos!V10)/Datos!V10),(Datos!L10-Datos!V10)/Datos!V10," - ")</f>
        <v>8.98876404494382E-2</v>
      </c>
      <c r="H10" s="229">
        <f>IF(ISNUMBER((Datos!M10-Datos!W10)/Datos!W10),(Datos!M10-Datos!W10)/Datos!W10," - ")</f>
        <v>-0.25</v>
      </c>
      <c r="I10" s="349">
        <f>IF(ISNUMBER((Tasas!C10-Datos!BE10)/Datos!BE10),(Tasas!C10-Datos!BE10)/Datos!BE10," - ")</f>
        <v>0.69538077403245968</v>
      </c>
      <c r="J10" s="348">
        <f>IF(ISNUMBER((Tasas!D10-Datos!BF10)/Datos!BF10),(Tasas!D10-Datos!BF10)/Datos!BF10," - ")</f>
        <v>0.16666666666666666</v>
      </c>
      <c r="K10" s="350">
        <f>IF(ISNUMBER((Tasas!E10-Datos!BG10)/Datos!BG10),(Tasas!E10-Datos!BG10)/Datos!BG10," - ")</f>
        <v>0.52896486229819561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0.1306532663316583</v>
      </c>
      <c r="I13" s="356">
        <f>IF(ISNUMBER((Tasas!C13-Datos!BE13)/Datos!BE13),(Tasas!C13-Datos!BE13)/Datos!BE13," - ")</f>
        <v>-0.1717678993738733</v>
      </c>
      <c r="J13" s="354">
        <f>IF(ISNUMBER((Tasas!D13-Datos!BF13)/Datos!BF13),(Tasas!D13-Datos!BF13)/Datos!BF13," - ")</f>
        <v>-0.35613336101954479</v>
      </c>
      <c r="K13" s="357">
        <f>IF(ISNUMBER((Tasas!E13-Datos!BG13)/Datos!BG13),(Tasas!E13-Datos!BG13)/Datos!BG13," - ")</f>
        <v>-0.12658212393071458</v>
      </c>
      <c r="M13" t="e">
        <f>IF(Monitorios="SI",Datos!CE13,0)</f>
        <v>#REF!</v>
      </c>
      <c r="N13" t="e">
        <f>IF(Monitorios="SI",Datos!CF13,0)</f>
        <v>#REF!</v>
      </c>
      <c r="O13" t="e">
        <f>IF(Monitorios="SI",Datos!CG13,0)</f>
        <v>#REF!</v>
      </c>
      <c r="P13" t="e">
        <f>IF(Monitorios="SI",Datos!CH13,0)</f>
        <v>#REF!</v>
      </c>
      <c r="Q13">
        <f>IF(J_V="SI",0,Datos!AG13)</f>
        <v>198</v>
      </c>
      <c r="R13">
        <f>IF(J_V="SI",0,Datos!AH13)</f>
        <v>138</v>
      </c>
      <c r="S13">
        <f>IF(J_V="SI",0,Datos!AI13)</f>
        <v>175</v>
      </c>
      <c r="T13">
        <f>IF(J_V="SI",0,Datos!AJ13)</f>
        <v>161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0.1798753339269813</v>
      </c>
      <c r="E15" s="347">
        <f>IF(ISNUMBER(
   IF(D_I="SI",(Datos!J15-Datos!T15)/Datos!T15,(Datos!J15+Datos!AD15-(Datos!T15+Datos!AL15))/(Datos!T15+Datos!AL15))
     ),IF(D_I="SI",(Datos!J15-Datos!T15)/Datos!T15,(Datos!J15+Datos!AD15-(Datos!T15+Datos!AL15))/(Datos!T15+Datos!AL15))," - ")</f>
        <v>0.10846560846560846</v>
      </c>
      <c r="F15" s="347">
        <f>IF(ISNUMBER(
   IF(D_I="SI",(Datos!K15-Datos!U15)/Datos!U15,(Datos!K15+Datos!AE15-(Datos!U15+Datos!AM15))/(Datos!U15+Datos!AM15))
     ),IF(D_I="SI",(Datos!K15-Datos!U15)/Datos!U15,(Datos!K15+Datos!AE15-(Datos!U15+Datos!AM15))/(Datos!U15+Datos!AM15))," - ")</f>
        <v>0.11431461810824481</v>
      </c>
      <c r="G15" s="348">
        <f>IF(ISNUMBER(
   IF(D_I="SI",(Datos!L15-Datos!V15)/Datos!V15,(Datos!L15+Datos!AF15-(Datos!V15+Datos!AN15))/(Datos!V15+Datos!AN15))
     ),IF(D_I="SI",(Datos!L15-Datos!V15)/Datos!V15,(Datos!L15+Datos!AF15-(Datos!V15+Datos!AN15))/(Datos!V15+Datos!AN15))," - ")</f>
        <v>0.21581099500227169</v>
      </c>
      <c r="H15" s="229">
        <f>IF(ISNUMBER((Datos!M15-Datos!W15)/Datos!W15),(Datos!M15-Datos!W15)/Datos!W15," - ")</f>
        <v>-5.1172707889125799E-2</v>
      </c>
      <c r="I15" s="349">
        <f>IF(ISNUMBER((Tasas!C15-Datos!BE15)/Datos!BE15),(Tasas!C15-Datos!BE15)/Datos!BE15," - ")</f>
        <v>9.1084129423282492E-2</v>
      </c>
      <c r="J15" s="348">
        <f>IF(ISNUMBER((Tasas!D15-Datos!BF15)/Datos!BF15),(Tasas!D15-Datos!BF15)/Datos!BF15," - ")</f>
        <v>-0.14851041466037304</v>
      </c>
      <c r="K15" s="350">
        <f>IF(ISNUMBER((Tasas!E15-Datos!BG15)/Datos!BG15),(Tasas!E15-Datos!BG15)/Datos!BG15," - ")</f>
        <v>2.9550985951107469E-2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-0.30508474576271188</v>
      </c>
      <c r="E18" s="347">
        <f>IF(ISNUMBER(
   IF(D_I="SI",(Datos!J18-Datos!T18)/Datos!T18,(Datos!J18+Datos!AD18-(Datos!T18+Datos!AL18))/(Datos!T18+Datos!AL18))
     ),IF(D_I="SI",(Datos!J18-Datos!T18)/Datos!T18,(Datos!J18+Datos!AD18-(Datos!T18+Datos!AL18))/(Datos!T18+Datos!AL18))," - ")</f>
        <v>0.59537572254335258</v>
      </c>
      <c r="F18" s="347">
        <f>IF(ISNUMBER(
   IF(D_I="SI",(Datos!K18-Datos!U18)/Datos!U18,(Datos!K18+Datos!AE18-(Datos!U18+Datos!AM18))/(Datos!U18+Datos!AM18))
     ),IF(D_I="SI",(Datos!K18-Datos!U18)/Datos!U18,(Datos!K18+Datos!AE18-(Datos!U18+Datos!AM18))/(Datos!U18+Datos!AM18))," - ")</f>
        <v>0.41317365269461076</v>
      </c>
      <c r="G18" s="348">
        <f>IF(ISNUMBER(
   IF(D_I="SI",(Datos!L18-Datos!V18)/Datos!V18,(Datos!L18+Datos!AF18-(Datos!V18+Datos!AN18))/(Datos!V18+Datos!AN18))
     ),IF(D_I="SI",(Datos!L18-Datos!V18)/Datos!V18,(Datos!L18+Datos!AF18-(Datos!V18+Datos!AN18))/(Datos!V18+Datos!AN18))," - ")</f>
        <v>4.8387096774193547E-2</v>
      </c>
      <c r="H18" s="229">
        <f>IF(ISNUMBER((Datos!M18-Datos!W18)/Datos!W18),(Datos!M18-Datos!W18)/Datos!W18," - ")</f>
        <v>5.9701492537313432E-2</v>
      </c>
      <c r="I18" s="349">
        <f>IF(ISNUMBER((Tasas!C18-Datos!BE18)/Datos!BE18),(Tasas!C18-Datos!BE18)/Datos!BE18," - ")</f>
        <v>-0.25813285948605796</v>
      </c>
      <c r="J18" s="348">
        <f>IF(ISNUMBER((Tasas!D18-Datos!BF18)/Datos!BF18),(Tasas!D18-Datos!BF18)/Datos!BF18," - ")</f>
        <v>-0.25012648621300282</v>
      </c>
      <c r="K18" s="350">
        <f>IF(ISNUMBER((Tasas!E18-Datos!BG18)/Datos!BG18),(Tasas!E18-Datos!BG18)/Datos!BG18," - ")</f>
        <v>-0.12944842448599225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0.155668358714044</v>
      </c>
      <c r="E19" s="353">
        <f>IF(ISNUMBER(
   IF(D_I="SI",(Datos!J19-Datos!T19)/Datos!T19,(Datos!J19+Datos!AD19-(Datos!T19+Datos!AL19))/(Datos!T19+Datos!AL19))
     ),IF(D_I="SI",(Datos!J19-Datos!T19)/Datos!T19,(Datos!J19+Datos!AD19-(Datos!T19+Datos!AL19))/(Datos!T19+Datos!AL19))," - ")</f>
        <v>0.14929714008725156</v>
      </c>
      <c r="F19" s="353">
        <f>IF(ISNUMBER(
   IF(D_I="SI",(Datos!K19-Datos!U19)/Datos!U19,(Datos!K19+Datos!AE19-(Datos!U19+Datos!AM19))/(Datos!U19+Datos!AM19))
     ),IF(D_I="SI",(Datos!K19-Datos!U19)/Datos!U19,(Datos!K19+Datos!AE19-(Datos!U19+Datos!AM19))/(Datos!U19+Datos!AM19))," - ")</f>
        <v>0.13759328358208955</v>
      </c>
      <c r="G19" s="354">
        <f>IF(ISNUMBER(
   IF(D_I="SI",(Datos!L19-Datos!V19)/Datos!V19,(Datos!L19+Datos!AF19-(Datos!V19+Datos!AN19))/(Datos!V19+Datos!AN19))
     ),IF(D_I="SI",(Datos!L19-Datos!V19)/Datos!V19,(Datos!L19+Datos!AF19-(Datos!V19+Datos!AN19))/(Datos!V19+Datos!AN19))," - ")</f>
        <v>0.20688172043010752</v>
      </c>
      <c r="H19" s="355">
        <f>IF(ISNUMBER((Datos!M19-Datos!W19)/Datos!W19),(Datos!M19-Datos!W19)/Datos!W19," - ")</f>
        <v>-3.7313432835820892E-2</v>
      </c>
      <c r="I19" s="356">
        <f>IF(ISNUMBER((Tasas!C19-Datos!BE19)/Datos!BE19),(Tasas!C19-Datos!BE19)/Datos!BE19," - ")</f>
        <v>6.0907916606047691E-2</v>
      </c>
      <c r="J19" s="354">
        <f>IF(ISNUMBER((Tasas!D19-Datos!BF19)/Datos!BF19),(Tasas!D19-Datos!BF19)/Datos!BF19," - ")</f>
        <v>-0.15375153751537518</v>
      </c>
      <c r="K19" s="357">
        <f>IF(ISNUMBER((Tasas!E19-Datos!BG19)/Datos!BG19),(Tasas!E19-Datos!BG19)/Datos!BG19," - ")</f>
        <v>1.3278964955901957E-2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-5.6938593131622625E-2</v>
      </c>
      <c r="E20" s="362">
        <f>IF(ISNUMBER(
   IF(J_V="SI",(Datos!J20-Datos!T20)/Datos!T20,(Datos!J20+Datos!Z20-(Datos!T20+Datos!AH20))/(Datos!T20+Datos!AH20))
     ),IF(J_V="SI",(Datos!J20-Datos!T20)/Datos!T20,(Datos!J20+Datos!Z20-(Datos!T20+Datos!AH20))/(Datos!T20+Datos!AH20))," - ")</f>
        <v>-0.22212964505915681</v>
      </c>
      <c r="F20" s="362">
        <f>IF(ISNUMBER(
   IF(J_V="SI",(Datos!K20-Datos!U20)/Datos!U20,(Datos!K20+Datos!AA20-(Datos!U20+Datos!AI20))/(Datos!U20+Datos!AI20))
     ),IF(J_V="SI",(Datos!K20-Datos!U20)/Datos!U20,(Datos!K20+Datos!AA20-(Datos!U20+Datos!AI20))/(Datos!U20+Datos!AI20))," - ")</f>
        <v>-3.441024660676735E-2</v>
      </c>
      <c r="G20" s="363">
        <f>IF(ISNUMBER(
   IF(J_V="SI",(Datos!L20-Datos!V20)/Datos!V20,(Datos!L20+Datos!AB20-(Datos!V20+Datos!AJ20))/(Datos!V20+Datos!AJ20))
     ),IF(J_V="SI",(Datos!L20-Datos!V20)/Datos!V20,(Datos!L20+Datos!AB20-(Datos!V20+Datos!AJ20))/(Datos!V20+Datos!AJ20))," - ")</f>
        <v>-0.16310005783689993</v>
      </c>
      <c r="H20" s="364">
        <f>IF(ISNUMBER((Datos!M20-Datos!W20)/Datos!W20),(Datos!M20-Datos!W20)/Datos!W20," - ")</f>
        <v>5.1191526919682262E-2</v>
      </c>
      <c r="I20" s="361">
        <f>IF(ISNUMBER((Tasas!C20-Datos!BE20)/Datos!BE20),(Tasas!C20-Datos!BE20)/Datos!BE20," - ")</f>
        <v>-0.13327586666894153</v>
      </c>
      <c r="J20" s="362">
        <f>IF(ISNUMBER((Tasas!D20-Datos!BF20)/Datos!BF20),(Tasas!D20-Datos!BF20)/Datos!BF20," - ")</f>
        <v>-0.30510248981515303</v>
      </c>
      <c r="K20" s="363">
        <f>IF(ISNUMBER((Tasas!E20-Datos!BG20)/Datos!BG20),(Tasas!E20-Datos!BG20)/Datos!BG20," - ")</f>
        <v>-9.754242450583632E-2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0.25565313962906272</v>
      </c>
      <c r="E22" s="277">
        <f t="shared" si="1"/>
        <v>0.47189456523232992</v>
      </c>
      <c r="F22" s="277">
        <f t="shared" si="1"/>
        <v>0.31966475719338466</v>
      </c>
      <c r="G22" s="278">
        <f t="shared" si="1"/>
        <v>8.3913467566199523E-2</v>
      </c>
      <c r="H22" s="284">
        <f t="shared" si="1"/>
        <v>0.14632613524646654</v>
      </c>
      <c r="I22" s="276">
        <f t="shared" si="1"/>
        <v>0.35064499106526881</v>
      </c>
      <c r="J22" s="277">
        <f t="shared" si="1"/>
        <v>0.19512609952335502</v>
      </c>
      <c r="K22" s="278">
        <f t="shared" si="1"/>
        <v>0.25513462018102628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kwukxwAkr1FruQWyfw4E04OXeZAgjoKAQgooxoBI/u8tGk2pbBbISjDtRKktwbX14I4JIVVwJTT3xB7CtQLbA==" saltValue="kZ5MGDd/51KUEb6UyI07X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